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Verdon St 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'Verdon St 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'Verdon St A'!$A$23:$J$84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<sst xmlns="http://schemas.openxmlformats.org/spreadsheetml/2006/main" count="7347" uniqueCount="2731">
  <si>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</si>
  <si>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</si>
  <si>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</si>
  <si>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</si>
  <si>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</si>
  <si>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</si>
  <si>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</si>
  <si>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</si>
  <si>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</si>
  <si>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</si>
  <si>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</si>
  <si>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</si>
  <si>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</si>
  <si>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</si>
  <si>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</si>
  <si>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</si>
  <si>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</si>
  <si>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</si>
  <si>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</si>
  <si>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</si>
  <si>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</si>
  <si>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</si>
  <si>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</si>
  <si>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</si>
  <si>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</si>
  <si>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</si>
  <si>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</si>
  <si>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</si>
  <si>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</si>
  <si>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</si>
  <si>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</si>
  <si>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</si>
  <si>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</si>
  <si>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</si>
  <si>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</si>
  <si>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</si>
  <si>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</si>
  <si>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</si>
  <si>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</si>
  <si>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</si>
  <si>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</si>
  <si>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</si>
  <si>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</si>
  <si>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</si>
  <si>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</si>
  <si>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</si>
  <si>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</si>
  <si>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</si>
  <si>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</si>
  <si>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</si>
  <si>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</si>
  <si>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</si>
  <si>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</si>
  <si>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</si>
  <si>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</si>
  <si>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</si>
  <si>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</si>
  <si>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</si>
  <si>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</si>
  <si>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</si>
  <si>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</si>
  <si>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</si>
  <si>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</si>
  <si>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</si>
  <si>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</si>
  <si>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</si>
  <si>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</si>
  <si>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</si>
  <si>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</si>
  <si>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</si>
  <si>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</si>
  <si>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</si>
  <si>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</si>
  <si>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</si>
  <si>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</si>
  <si>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</si>
  <si>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</si>
  <si>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</si>
  <si>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</si>
  <si>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</si>
  <si>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</si>
  <si>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</si>
  <si>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</si>
  <si>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</si>
  <si>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</si>
  <si>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</si>
  <si>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</si>
  <si>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</si>
  <si>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</si>
  <si>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</si>
  <si>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</si>
  <si>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</si>
  <si>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</si>
  <si>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</si>
  <si>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</si>
  <si>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</si>
  <si>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</si>
  <si>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</si>
  <si>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</si>
  <si>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</si>
  <si>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</si>
  <si>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</si>
  <si>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</si>
  <si>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</si>
  <si>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</si>
  <si>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</si>
  <si>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</si>
  <si>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</si>
  <si>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</si>
  <si>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</si>
  <si>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</si>
  <si>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</si>
  <si>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</si>
  <si>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</si>
  <si>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</si>
  <si>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</si>
  <si>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</si>
  <si>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</si>
  <si>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</si>
  <si>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</si>
  <si>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</si>
  <si>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</si>
  <si>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</si>
  <si>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</si>
  <si>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</si>
  <si>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</si>
  <si>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</si>
  <si>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</si>
  <si>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</si>
  <si>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</si>
  <si>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</si>
  <si>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</si>
  <si>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</si>
  <si>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</si>
  <si>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</si>
  <si>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</si>
  <si>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</si>
  <si>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</si>
  <si>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</si>
  <si>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</si>
  <si>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</si>
  <si>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</si>
  <si>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</si>
  <si>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</si>
  <si>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</si>
  <si>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</si>
  <si>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</si>
  <si>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</si>
  <si>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</si>
  <si>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</si>
  <si>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</si>
  <si>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</si>
  <si>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</si>
  <si>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</si>
  <si>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</si>
  <si>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</si>
  <si>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</si>
  <si>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</si>
  <si>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</si>
  <si>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</si>
  <si>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</si>
  <si>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</si>
  <si>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</si>
  <si>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</si>
  <si>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</si>
  <si>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</si>
  <si>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</si>
  <si>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</si>
  <si>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</si>
  <si>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</si>
  <si>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</si>
  <si>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</si>
  <si>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</si>
  <si>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</si>
  <si>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</si>
  <si>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</si>
  <si>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</si>
  <si>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</si>
  <si>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</si>
  <si>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</si>
  <si>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</si>
  <si>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</si>
  <si>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</si>
  <si>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</si>
  <si>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</si>
  <si>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</si>
  <si>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</si>
  <si>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</si>
  <si>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</si>
  <si>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</si>
  <si>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</si>
  <si>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</si>
  <si>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</si>
  <si>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</si>
  <si>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</si>
  <si>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</si>
  <si>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</si>
  <si>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</si>
  <si>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</si>
  <si>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</si>
  <si>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</si>
  <si>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</si>
  <si>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</si>
  <si>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</si>
  <si>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</si>
  <si>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</si>
  <si>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</si>
  <si>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</si>
  <si>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</si>
  <si>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</si>
  <si>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</si>
  <si>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</si>
  <si>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</si>
  <si>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</si>
  <si>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</si>
  <si>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</si>
  <si>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</si>
  <si>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</si>
  <si>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</si>
  <si>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</si>
  <si>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</si>
  <si>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</si>
  <si>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</si>
  <si>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</si>
  <si>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</si>
  <si>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</si>
  <si>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</si>
  <si>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</si>
  <si>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</si>
  <si>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</si>
  <si>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</si>
  <si>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</si>
  <si>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</si>
  <si>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</si>
  <si>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</si>
  <si>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</si>
  <si>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</si>
  <si>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</si>
  <si>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</si>
  <si>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</si>
  <si>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</si>
  <si>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</si>
  <si>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</si>
  <si>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</si>
  <si>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</si>
  <si>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</si>
  <si>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</si>
  <si>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</si>
  <si>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</si>
  <si>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</si>
  <si>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</si>
  <si>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</si>
  <si>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</si>
  <si>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</si>
  <si>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</si>
  <si>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</si>
  <si>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</si>
  <si>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</si>
  <si>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</si>
  <si>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</si>
  <si>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</si>
  <si>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</si>
  <si>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</si>
  <si>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</si>
  <si>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</si>
  <si>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</si>
  <si>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</si>
  <si>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</si>
  <si>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</si>
  <si>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</si>
  <si>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</si>
  <si>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</si>
  <si>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</si>
  <si>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</si>
  <si>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</si>
  <si>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</si>
  <si>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</si>
  <si>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</si>
  <si>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</si>
  <si>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</si>
  <si>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</si>
  <si>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</si>
  <si>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</si>
  <si>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</si>
  <si>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</si>
  <si>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</si>
  <si>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</si>
  <si>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</si>
  <si>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</si>
  <si>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</si>
  <si>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</si>
  <si>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</si>
  <si>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</si>
  <si>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</si>
  <si>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</si>
  <si>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</si>
  <si>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</si>
  <si>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</si>
  <si>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</si>
  <si>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</si>
  <si>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</si>
  <si>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</si>
  <si>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</si>
  <si>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</si>
  <si>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</si>
  <si>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</si>
  <si>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</si>
  <si>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</si>
  <si>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</si>
  <si>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</si>
  <si>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</si>
  <si>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</si>
  <si>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</si>
  <si>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</si>
  <si>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</si>
  <si>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</si>
  <si>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</si>
  <si>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</si>
  <si>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</si>
  <si>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</si>
  <si>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</si>
  <si>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</si>
  <si>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</si>
  <si>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</si>
  <si>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</si>
  <si>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</si>
  <si>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</si>
  <si>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</si>
  <si>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</si>
  <si>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</si>
  <si>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</si>
  <si>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</si>
  <si>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</si>
  <si>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</si>
  <si>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</si>
  <si>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</si>
  <si>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</si>
  <si>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</si>
  <si>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</si>
  <si>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</si>
  <si>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</si>
  <si>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</si>
  <si>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</si>
  <si>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</si>
  <si>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</si>
  <si>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</si>
  <si>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</si>
  <si>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</si>
  <si>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</si>
  <si>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</si>
  <si>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</si>
  <si>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</si>
  <si>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</si>
  <si>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</si>
  <si>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</si>
  <si>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</si>
  <si>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</si>
  <si>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</si>
  <si>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</si>
  <si>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</si>
  <si>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</si>
  <si>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</si>
  <si>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</si>
  <si>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</si>
  <si>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</si>
  <si>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</si>
  <si>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</si>
  <si>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</si>
  <si>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</si>
  <si>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</si>
  <si>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</si>
  <si>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</si>
  <si>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</si>
  <si>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</si>
  <si>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</si>
  <si>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</si>
  <si>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</si>
  <si>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</si>
  <si>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</si>
  <si>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</si>
  <si>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</si>
  <si>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</si>
  <si>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</si>
  <si>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</si>
  <si>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</si>
  <si>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</si>
  <si>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</si>
  <si>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</si>
  <si>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</si>
  <si>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</si>
  <si>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</si>
  <si>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</si>
  <si>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</si>
  <si>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</si>
  <si>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</si>
  <si>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</si>
  <si>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</si>
  <si>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</si>
  <si>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</si>
  <si>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</si>
  <si>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</si>
  <si>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</si>
  <si>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</si>
  <si>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</si>
  <si>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</si>
  <si>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</si>
  <si>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</si>
  <si>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</si>
  <si>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</si>
  <si>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</si>
  <si>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</si>
  <si>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</si>
  <si>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</si>
  <si>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</si>
  <si>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</si>
  <si>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</si>
  <si>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</si>
  <si>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</si>
  <si>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</si>
  <si>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</si>
  <si>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</si>
  <si>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</si>
  <si>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</si>
  <si>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</si>
  <si>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</si>
  <si>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</si>
  <si>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</si>
  <si>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</si>
  <si>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</si>
  <si>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</si>
  <si>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</si>
  <si>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</si>
  <si>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</si>
  <si>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</si>
  <si>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</si>
  <si>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</si>
  <si>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</si>
  <si>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</si>
  <si>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</si>
  <si>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</si>
  <si>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</si>
  <si>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</si>
  <si>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</si>
  <si>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</si>
  <si>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</si>
  <si>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</si>
  <si>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</si>
  <si>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</si>
  <si>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</si>
  <si>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</si>
  <si>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</si>
  <si>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</si>
  <si>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</si>
  <si>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</si>
  <si>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</si>
  <si>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</si>
  <si>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</si>
  <si>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</si>
  <si>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</si>
  <si>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</si>
  <si>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</si>
  <si>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</si>
  <si>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</si>
  <si>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</si>
  <si>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</si>
  <si>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</si>
  <si>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</si>
  <si>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</si>
  <si>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</si>
  <si>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</si>
  <si>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</si>
  <si>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</si>
  <si>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</si>
  <si>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</si>
  <si>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</si>
  <si>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</si>
  <si>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</si>
  <si>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</si>
  <si>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</si>
  <si>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</si>
  <si>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</si>
  <si>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</si>
  <si>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</si>
  <si>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</si>
  <si>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</si>
  <si>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</si>
  <si>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</si>
  <si>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</si>
  <si>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</si>
  <si>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</si>
  <si>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</si>
  <si>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</si>
  <si>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</si>
  <si>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</si>
  <si>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</si>
  <si>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</si>
  <si>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</si>
  <si>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</si>
  <si>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</si>
  <si>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</si>
  <si>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</si>
  <si>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</si>
  <si>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</si>
  <si>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</si>
  <si>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</si>
  <si>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</si>
  <si>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</si>
  <si>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</si>
  <si>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</si>
  <si>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</si>
  <si>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</si>
  <si>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</si>
  <si>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</si>
  <si>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</si>
  <si>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</si>
  <si>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</si>
  <si>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</si>
  <si>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</si>
  <si>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</si>
  <si>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</si>
  <si>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</si>
  <si>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</si>
  <si>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</si>
  <si>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</si>
  <si>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</si>
  <si>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</si>
  <si>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</si>
  <si>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</si>
  <si>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</si>
  <si>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</si>
  <si>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</si>
  <si>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</si>
  <si>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</si>
  <si>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</si>
  <si>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</si>
  <si>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</si>
  <si>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</si>
  <si>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</si>
  <si>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</si>
  <si>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</si>
  <si>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</si>
  <si>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</si>
  <si>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</si>
  <si>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</si>
  <si>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</si>
  <si>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</si>
  <si>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</si>
  <si>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</si>
  <si>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</si>
  <si>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</si>
  <si>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</si>
  <si>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</si>
  <si>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</si>
  <si>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</si>
  <si>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</si>
  <si>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</si>
  <si>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</si>
  <si>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</si>
  <si>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</si>
  <si>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</si>
  <si>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</si>
  <si>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</si>
  <si>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</si>
  <si>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</si>
  <si>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</si>
  <si>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</si>
  <si>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</si>
  <si>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</si>
  <si>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</si>
  <si>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</si>
  <si>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</si>
  <si>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</si>
  <si>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</si>
  <si>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</si>
  <si>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</si>
  <si>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</si>
  <si>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</si>
  <si>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</si>
  <si>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</si>
  <si>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</si>
  <si>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</si>
  <si>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</si>
  <si>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</si>
  <si>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</si>
  <si>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</si>
  <si>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</si>
  <si>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</si>
  <si>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</si>
  <si>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</si>
  <si>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</si>
  <si>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</si>
  <si>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</si>
  <si>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</si>
  <si>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</si>
  <si>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</si>
  <si>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</si>
  <si>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</si>
  <si>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</si>
  <si>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</si>
  <si>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</si>
  <si>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</si>
  <si>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</si>
  <si>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</si>
  <si>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</si>
  <si>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</si>
  <si>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</si>
  <si>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</si>
  <si>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</si>
  <si>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</si>
  <si>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</si>
  <si>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</si>
  <si>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</si>
  <si>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</si>
  <si>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</si>
  <si>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</si>
  <si>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</si>
  <si>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</si>
  <si>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</si>
  <si>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</si>
  <si>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</si>
  <si>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</si>
  <si>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</si>
  <si>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</si>
  <si>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</si>
  <si>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</si>
  <si>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</si>
  <si>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</si>
  <si>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</si>
  <si>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</si>
  <si>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</si>
  <si>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</si>
  <si>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</si>
  <si>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</si>
  <si>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</si>
  <si>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</si>
  <si>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</si>
  <si>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</si>
  <si>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</si>
  <si>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</si>
  <si>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</si>
  <si>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</si>
  <si>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</si>
  <si>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</si>
  <si>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</si>
  <si>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</si>
  <si>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</si>
  <si>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</si>
  <si>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</si>
  <si>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</si>
  <si>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</si>
  <si>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</si>
  <si>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</si>
  <si>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</si>
  <si>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</si>
  <si>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</si>
  <si>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</si>
  <si>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</si>
  <si>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</si>
  <si>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</si>
  <si>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</si>
  <si>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</si>
  <si>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</si>
  <si>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</si>
  <si>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</si>
  <si>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</si>
  <si>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</si>
  <si>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</si>
  <si>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</si>
  <si>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</si>
  <si>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</si>
  <si>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</si>
  <si>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</si>
  <si>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</si>
  <si>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</si>
  <si>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</si>
  <si>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</si>
  <si>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</si>
  <si>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</si>
  <si>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</si>
  <si>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</si>
  <si>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</si>
  <si>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</si>
  <si>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</si>
  <si>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</si>
  <si>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</si>
  <si>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</si>
  <si>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</si>
  <si>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</si>
  <si>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</si>
  <si>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</si>
  <si>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</si>
  <si>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</si>
  <si>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</si>
  <si>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</si>
  <si>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</si>
  <si>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</si>
  <si>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</si>
  <si>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</si>
  <si>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</si>
  <si>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</si>
  <si>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</si>
  <si>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</si>
  <si>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</si>
  <si>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</si>
  <si>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</si>
  <si>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</si>
  <si>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</si>
  <si>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</si>
  <si>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</si>
  <si>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</si>
  <si>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</si>
  <si>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</si>
  <si>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</si>
  <si>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</si>
  <si>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</si>
  <si>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</si>
  <si>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</si>
  <si>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</si>
  <si>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</si>
  <si>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</si>
  <si>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</si>
  <si>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</si>
  <si>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</si>
  <si>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</si>
  <si>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</si>
  <si>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</si>
  <si>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</si>
  <si>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</si>
  <si>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</si>
  <si>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</si>
  <si>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</si>
  <si>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</si>
  <si>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</si>
  <si>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</si>
  <si>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</si>
  <si>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</si>
  <si>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</si>
  <si>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</si>
  <si>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</si>
  <si>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</si>
  <si>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</si>
  <si>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</si>
  <si>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</si>
  <si>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</si>
  <si>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</si>
  <si>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</si>
  <si>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</si>
  <si>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</si>
  <si>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</si>
  <si>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</si>
  <si>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</si>
  <si>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</si>
  <si>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</si>
  <si>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</si>
  <si>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</si>
  <si>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</si>
  <si>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</si>
  <si>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</si>
  <si>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</si>
  <si>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</si>
  <si>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</si>
  <si>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</si>
  <si>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</si>
  <si>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</si>
  <si>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</si>
  <si>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</si>
  <si>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</si>
  <si>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</si>
  <si>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</si>
  <si>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</si>
  <si>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</si>
  <si>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</si>
  <si>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</si>
  <si>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</si>
  <si>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</si>
  <si>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</si>
  <si>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</si>
  <si>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</si>
  <si>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</si>
  <si>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</si>
  <si>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</si>
  <si>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</si>
  <si>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</si>
  <si>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</si>
  <si>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</si>
  <si>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</si>
  <si>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</si>
  <si>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</si>
  <si>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</si>
  <si>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</si>
  <si>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</si>
  <si>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</si>
  <si>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</si>
  <si>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</si>
  <si>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</si>
  <si>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</si>
  <si>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</si>
  <si>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</si>
  <si>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</si>
  <si>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</si>
  <si>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</si>
  <si>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</si>
  <si>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</si>
  <si>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</si>
  <si>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</si>
  <si>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</si>
  <si>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</si>
  <si>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</si>
  <si>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</si>
  <si>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</si>
  <si>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</si>
  <si>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</si>
  <si>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</si>
  <si>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</si>
  <si>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</si>
  <si>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</si>
  <si>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</si>
  <si>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</si>
  <si>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</si>
  <si>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</si>
  <si>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</si>
  <si>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</si>
  <si>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</si>
  <si>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</si>
  <si>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</si>
  <si>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</si>
  <si>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</si>
  <si>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</si>
  <si>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</si>
  <si>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</si>
  <si>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</si>
  <si>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</si>
  <si>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</si>
  <si>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</si>
  <si>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</si>
  <si>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</si>
  <si>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</si>
  <si>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</si>
  <si>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</si>
  <si>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</si>
  <si>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</si>
  <si>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</si>
  <si>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</si>
  <si>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</si>
  <si>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</si>
  <si>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</si>
  <si>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</si>
  <si>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</si>
  <si>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</si>
  <si>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</si>
  <si>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</si>
  <si>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</si>
  <si>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</si>
  <si>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</si>
  <si>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</si>
  <si>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</si>
  <si>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</si>
  <si>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</si>
  <si>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</si>
  <si>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</si>
  <si>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</si>
  <si>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</si>
  <si>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</si>
  <si>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</si>
  <si>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</si>
  <si>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</si>
  <si>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</si>
  <si>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</si>
  <si>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</si>
  <si>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</si>
  <si>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</si>
  <si>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</si>
  <si>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</si>
  <si>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</si>
  <si>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</si>
  <si>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</si>
  <si>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</si>
  <si>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</si>
  <si>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</si>
  <si>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</si>
  <si>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</si>
  <si>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</si>
  <si>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</si>
  <si>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</si>
  <si>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</si>
  <si>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</si>
  <si>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</si>
  <si>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</si>
  <si>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</si>
  <si>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</si>
  <si>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</si>
  <si>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</si>
  <si>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</si>
  <si>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</si>
  <si>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</si>
  <si>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</si>
  <si>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</si>
  <si>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</si>
  <si>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</si>
  <si>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</si>
  <si>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</si>
  <si>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</si>
  <si>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</si>
  <si>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</si>
  <si>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</si>
  <si>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</si>
  <si>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</si>
  <si>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</si>
  <si>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</si>
  <si>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</si>
  <si>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</si>
  <si>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</si>
  <si>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</si>
  <si>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</si>
  <si>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</si>
  <si>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</si>
  <si>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</si>
  <si>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</si>
  <si>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</si>
  <si>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</si>
  <si>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</si>
  <si>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</si>
  <si>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</si>
  <si>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</si>
  <si>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</si>
  <si>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</si>
  <si>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</si>
  <si>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</si>
  <si>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</si>
  <si>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</si>
  <si>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</si>
  <si>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</si>
  <si>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</si>
  <si>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</si>
  <si>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</si>
  <si>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</si>
  <si>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</si>
  <si>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</si>
  <si>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</si>
  <si>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</si>
  <si>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</si>
  <si>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</si>
  <si>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</si>
  <si>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</si>
  <si>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</si>
  <si>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</si>
  <si>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</si>
  <si>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</si>
  <si>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</si>
  <si>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</si>
  <si>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</si>
  <si>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</si>
  <si>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</si>
  <si>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</si>
  <si>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</si>
  <si>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</si>
  <si>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</si>
  <si>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</si>
  <si>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</si>
  <si>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</si>
  <si>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</si>
  <si>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</si>
  <si>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</si>
  <si>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</si>
  <si>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</si>
  <si>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</si>
  <si>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</si>
  <si>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</si>
  <si>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</si>
  <si>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</si>
  <si>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</si>
  <si>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</si>
  <si>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</si>
  <si>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</si>
  <si>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</si>
  <si>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</si>
  <si>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</si>
  <si>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</si>
  <si>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</si>
  <si>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</si>
  <si>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</si>
  <si>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</si>
  <si>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</si>
  <si>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</si>
  <si>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</si>
  <si>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</si>
  <si>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</si>
  <si>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</si>
  <si>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</si>
  <si>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</si>
  <si>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</si>
  <si>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</si>
  <si>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</si>
  <si>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</si>
  <si>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</si>
  <si>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</si>
  <si>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</si>
  <si>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</si>
  <si>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</si>
  <si>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</si>
  <si>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</si>
  <si>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</si>
  <si>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</si>
  <si>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</si>
  <si>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</si>
  <si>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</si>
  <si>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</si>
  <si>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</si>
  <si>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</si>
  <si>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</si>
  <si>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</si>
  <si>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</si>
  <si>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</si>
  <si>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</si>
  <si>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</si>
  <si>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</si>
  <si>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</si>
  <si>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</si>
  <si>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</si>
  <si>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</si>
  <si>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</si>
  <si>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</si>
  <si>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</si>
  <si>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</si>
  <si>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</si>
  <si>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</si>
  <si>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</si>
  <si>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</si>
  <si>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</si>
  <si>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</si>
  <si>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</si>
  <si>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</si>
  <si>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</si>
  <si>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</si>
  <si>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</si>
  <si>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</si>
  <si>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</si>
  <si>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</si>
  <si>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</si>
  <si>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</si>
  <si>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</si>
  <si>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</si>
  <si>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</si>
  <si>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</si>
  <si>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</si>
  <si>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</si>
  <si>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</si>
  <si>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</si>
  <si>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</si>
  <si>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</si>
  <si>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</si>
  <si>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</si>
  <si>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</si>
  <si>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</si>
  <si>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</si>
  <si>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</si>
  <si>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</si>
  <si>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</si>
  <si>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</si>
  <si>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</si>
  <si>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</si>
  <si>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</si>
  <si>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</si>
  <si>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</si>
  <si>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</si>
  <si>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</si>
  <si>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</si>
  <si>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</si>
  <si>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</si>
  <si>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</si>
  <si>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</si>
  <si>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</si>
  <si>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</si>
  <si>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</si>
  <si>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</si>
  <si>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</si>
  <si>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</si>
  <si>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</si>
  <si>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</si>
  <si>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</si>
  <si>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</si>
  <si>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</si>
  <si>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</si>
  <si>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</si>
  <si>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</si>
  <si>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</si>
  <si>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</si>
  <si>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</si>
  <si>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</si>
  <si>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</si>
  <si>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</si>
  <si>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</si>
  <si>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</si>
  <si>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</si>
  <si>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</si>
  <si>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</si>
  <si>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</si>
  <si>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</si>
  <si>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</si>
  <si>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</si>
  <si>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</si>
  <si>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</si>
  <si>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</si>
  <si>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</si>
  <si>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</si>
  <si>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</si>
  <si>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</si>
  <si>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</si>
  <si>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</si>
  <si>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</si>
  <si>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</si>
  <si>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</si>
  <si>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</si>
  <si>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</si>
  <si>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</si>
  <si>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</si>
  <si>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</si>
  <si>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</si>
  <si>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</si>
  <si>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</si>
  <si>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</si>
  <si>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</si>
  <si>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</si>
  <si>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</si>
  <si>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</si>
  <si>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</si>
  <si>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</si>
  <si>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</si>
  <si>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</si>
  <si>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</si>
  <si>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</si>
  <si>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</si>
  <si>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</si>
  <si>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</si>
  <si>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</si>
  <si>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</si>
  <si>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</si>
  <si>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</si>
  <si>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</si>
  <si>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</si>
  <si>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</si>
  <si>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</si>
  <si>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</si>
  <si>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</si>
  <si>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</si>
  <si>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</si>
  <si>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</si>
  <si>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</si>
  <si>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</si>
  <si>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</si>
  <si>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</si>
  <si>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</si>
  <si>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</si>
  <si>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</si>
  <si>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</si>
  <si>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</si>
  <si>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</si>
  <si>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</si>
  <si>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</si>
  <si>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</si>
  <si>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</si>
  <si>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</si>
  <si>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</si>
  <si>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</si>
  <si>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</si>
  <si>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</si>
  <si>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</si>
  <si>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</si>
  <si>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</si>
  <si>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</si>
  <si>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</si>
  <si>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</si>
  <si>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</si>
  <si>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</si>
  <si>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</si>
  <si>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</si>
  <si>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</si>
  <si>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</si>
  <si>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</si>
  <si>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</si>
  <si>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</si>
  <si>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</si>
  <si>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</si>
  <si>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</si>
  <si>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</si>
  <si>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</si>
  <si>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</si>
  <si>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</si>
  <si>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</si>
  <si>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</si>
  <si>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</si>
  <si>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</si>
  <si>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</si>
  <si>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</si>
  <si>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</si>
  <si>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</si>
  <si>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</si>
  <si>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</si>
  <si>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</si>
  <si>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</si>
  <si>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</si>
  <si>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</si>
  <si>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</si>
  <si>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</si>
  <si>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</si>
  <si>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</si>
  <si>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</si>
  <si>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</si>
  <si>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</si>
  <si>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</si>
  <si>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</si>
  <si>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</si>
  <si>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</si>
  <si>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</si>
  <si>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</si>
  <si>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</si>
  <si>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</si>
  <si>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</si>
  <si>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</si>
  <si>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</si>
  <si>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</si>
  <si>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</si>
  <si>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</si>
  <si>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</si>
  <si>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</si>
  <si>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</si>
  <si>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</si>
  <si>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</si>
  <si>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</si>
  <si>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</si>
  <si>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</si>
  <si>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</si>
  <si>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</si>
  <si>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</si>
  <si>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</si>
  <si>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</si>
  <si>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</si>
  <si>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</si>
  <si>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</si>
  <si>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</si>
  <si>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</si>
  <si>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</si>
  <si>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</si>
  <si>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</si>
  <si>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</si>
  <si>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</si>
  <si>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</si>
  <si>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</si>
  <si>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</si>
  <si>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</si>
  <si>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</si>
  <si>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</si>
  <si>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</si>
  <si>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</si>
  <si>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</si>
  <si>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</si>
  <si>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</si>
  <si>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</si>
  <si>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</si>
  <si>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</si>
  <si>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</si>
  <si>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</si>
  <si>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</si>
  <si>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</si>
  <si>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</si>
  <si>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</si>
  <si>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</si>
  <si>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</si>
  <si>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</si>
  <si>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</si>
  <si>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</si>
  <si>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</si>
  <si>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</si>
  <si>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</si>
  <si>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</si>
  <si>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</si>
  <si>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</si>
  <si>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</si>
  <si>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</si>
  <si>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</si>
  <si>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</si>
  <si>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</si>
  <si>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</si>
  <si>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</si>
  <si>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</si>
  <si>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</si>
  <si>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</si>
  <si>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</si>
  <si>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</si>
  <si>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</si>
  <si>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</si>
  <si>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</si>
  <si>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</si>
  <si>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</si>
  <si>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</si>
  <si>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</si>
  <si>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</si>
  <si>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</si>
  <si>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</si>
  <si>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</si>
  <si>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</si>
  <si>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</si>
  <si>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</si>
  <si>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</si>
  <si>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</si>
  <si>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</si>
  <si>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</si>
  <si>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</si>
  <si>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</si>
  <si>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</si>
  <si>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</si>
  <si>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</si>
  <si>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</si>
  <si>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</si>
  <si>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</si>
  <si>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</si>
  <si>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</si>
  <si>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</si>
  <si>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</si>
  <si>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</si>
  <si>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</si>
  <si>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</si>
  <si>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</si>
  <si>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</si>
  <si>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</si>
  <si>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</si>
  <si>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</si>
  <si>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</si>
  <si>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</si>
  <si>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</si>
  <si>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</si>
  <si>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</si>
  <si>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</si>
  <si>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</si>
  <si>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</si>
  <si>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</si>
  <si>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</si>
  <si>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</si>
  <si>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</si>
  <si>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</si>
  <si>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</si>
  <si>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</si>
  <si>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</si>
  <si>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</si>
  <si>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</si>
  <si>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</si>
  <si>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</si>
  <si>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</si>
  <si>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</si>
  <si>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</si>
  <si>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</si>
  <si>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</si>
  <si>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</si>
  <si>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</si>
  <si>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</si>
  <si>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</si>
  <si>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</si>
  <si>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</si>
  <si>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</si>
  <si>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</si>
  <si>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</si>
  <si>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</si>
  <si>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</si>
  <si>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</si>
  <si>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</si>
  <si>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</si>
  <si>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</si>
  <si>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</si>
  <si>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</si>
  <si>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</si>
  <si>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</si>
  <si>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</si>
  <si>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</si>
  <si>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</si>
  <si>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</si>
  <si>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</si>
  <si>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</si>
  <si>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</si>
  <si>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</si>
  <si>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</si>
  <si>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</si>
  <si>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</si>
  <si>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</si>
  <si>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</si>
  <si>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</si>
  <si>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</si>
  <si>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</si>
  <si>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</si>
  <si>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</si>
  <si>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</si>
  <si>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</si>
  <si>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</si>
  <si>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</si>
  <si>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</si>
  <si>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</si>
  <si>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</si>
  <si>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</si>
  <si>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</si>
  <si>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</si>
  <si>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</si>
  <si>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</si>
  <si>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</si>
  <si>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</si>
  <si>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</si>
  <si>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</si>
  <si>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</si>
  <si>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</si>
  <si>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</si>
  <si>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</si>
  <si>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</si>
  <si>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</si>
  <si>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</si>
  <si>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</si>
  <si>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</si>
  <si>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</si>
  <si>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</si>
  <si>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</si>
  <si>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</si>
  <si>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</si>
  <si>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</si>
  <si>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</si>
  <si>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</si>
  <si>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</si>
  <si>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</si>
  <si>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</si>
  <si>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</si>
  <si>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</si>
  <si>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</si>
  <si>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</si>
  <si>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</si>
  <si>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</si>
  <si>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</si>
  <si>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</si>
  <si>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</si>
  <si>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</si>
  <si>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</si>
  <si>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</si>
  <si>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</si>
  <si>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</si>
  <si>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</si>
  <si>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</si>
  <si>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</si>
  <si>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</si>
  <si>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</si>
  <si>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</si>
  <si>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</si>
  <si>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</si>
  <si>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</si>
  <si>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</si>
  <si>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</si>
  <si>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</si>
  <si>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</si>
  <si>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</si>
  <si>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</si>
  <si>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</si>
  <si>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</si>
  <si>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</si>
  <si>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</si>
  <si>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</si>
  <si>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</si>
  <si>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</si>
  <si>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</si>
  <si>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</si>
  <si>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</si>
  <si>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</si>
  <si>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</si>
  <si>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</si>
  <si>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</si>
  <si>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</si>
  <si>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</si>
  <si>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</si>
  <si>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</si>
  <si>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</si>
  <si>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</si>
  <si>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</si>
  <si>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</si>
  <si>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</si>
  <si>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</si>
  <si>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</si>
  <si>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</si>
  <si>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</si>
  <si>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</si>
  <si>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</si>
  <si>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</si>
  <si>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</si>
  <si>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</si>
  <si>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</si>
  <si>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</si>
  <si>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</si>
  <si>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</si>
  <si>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</si>
  <si>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</si>
  <si>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</si>
  <si>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</si>
  <si>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</si>
  <si>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</si>
  <si>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</si>
  <si>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</si>
  <si>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</si>
  <si>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</si>
  <si>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</si>
  <si>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</si>
  <si>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</si>
  <si>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</si>
  <si>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</si>
  <si>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</si>
  <si>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</si>
  <si>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</si>
  <si>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</si>
  <si>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</si>
  <si>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</si>
  <si>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</si>
  <si>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</si>
  <si>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</si>
  <si>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</si>
  <si>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</si>
  <si>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</si>
  <si>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</si>
  <si>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</si>
  <si>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</si>
  <si>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</si>
  <si>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</si>
  <si>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</si>
  <si>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</si>
  <si>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</si>
  <si>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</si>
  <si>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</si>
  <si>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</si>
  <si>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</si>
  <si>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</si>
  <si>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</si>
  <si>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</si>
  <si>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</si>
  <si>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</si>
  <si>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</si>
  <si>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</si>
  <si>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</si>
  <si>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</si>
  <si>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</si>
  <si>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</si>
  <si>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</si>
  <si>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</si>
  <si>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</si>
  <si>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</si>
  <si>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</si>
  <si>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</si>
  <si>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</si>
  <si>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</si>
  <si>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</si>
  <si>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</si>
  <si>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</si>
  <si>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</si>
  <si>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</si>
  <si>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</si>
  <si>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</si>
  <si>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</si>
  <si>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</si>
  <si>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</si>
  <si>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</si>
  <si>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</si>
  <si>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</si>
  <si>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</si>
  <si>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</si>
  <si>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</si>
  <si>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</si>
  <si>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</si>
  <si>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</si>
  <si>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</si>
  <si>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</si>
  <si>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</si>
  <si>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</si>
  <si>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</si>
  <si>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</si>
  <si>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</si>
  <si>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</si>
  <si>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</si>
  <si>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</si>
  <si>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</si>
  <si>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</si>
  <si>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</si>
  <si>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</si>
  <si>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</si>
  <si>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</si>
  <si>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</si>
  <si>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</si>
  <si>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</si>
  <si>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</si>
  <si>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</si>
  <si>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</si>
  <si>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</si>
  <si>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</si>
  <si>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</si>
  <si>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</si>
  <si>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</si>
  <si>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</si>
  <si>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</si>
  <si>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</si>
  <si>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</si>
  <si>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</si>
  <si>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</si>
  <si>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</si>
  <si>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</si>
  <si>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</si>
  <si>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</si>
  <si>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</si>
  <si>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</si>
  <si>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</si>
  <si>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</si>
  <si>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</si>
  <si>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</si>
  <si>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</si>
  <si>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</si>
  <si>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</si>
  <si>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</si>
  <si>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</si>
  <si>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</si>
  <si>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</si>
  <si>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</si>
  <si>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</si>
  <si>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</si>
  <si>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</si>
  <si>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</si>
  <si>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</si>
  <si>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</si>
  <si>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</si>
  <si>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</si>
  <si>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</si>
  <si>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</si>
  <si>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</si>
  <si>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</si>
  <si>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</si>
  <si>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</si>
  <si>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</si>
  <si>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</si>
  <si>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</si>
  <si>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</si>
  <si>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</si>
  <si>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</si>
  <si>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</si>
  <si>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</si>
  <si>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</si>
  <si>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</si>
  <si>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</si>
  <si>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</si>
  <si>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</si>
  <si>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</si>
  <si>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</si>
  <si>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</si>
  <si>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</si>
  <si>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</si>
  <si>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</si>
  <si>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</si>
  <si>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</si>
  <si>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</si>
  <si>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</si>
  <si>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</si>
  <si>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</si>
  <si>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</si>
  <si>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</si>
  <si>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</si>
  <si>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</si>
  <si>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</si>
  <si>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</si>
  <si>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</si>
  <si>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</si>
  <si>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</si>
  <si>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</si>
  <si>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</si>
  <si>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</si>
  <si>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</si>
  <si>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</si>
  <si>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</si>
  <si>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</si>
  <si>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</si>
  <si>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</si>
  <si>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</si>
  <si>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</si>
  <si>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</si>
  <si>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</si>
  <si>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</si>
  <si>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</si>
  <si>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</si>
  <si>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</si>
  <si>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</si>
  <si>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</si>
  <si>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</si>
  <si>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</si>
  <si>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</si>
  <si>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</si>
  <si>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</si>
  <si>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</si>
  <si>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</si>
  <si>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</si>
  <si>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</si>
  <si>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</si>
  <si>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</si>
  <si>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</si>
  <si>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</si>
  <si>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</si>
  <si>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</si>
  <si>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</si>
  <si>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</si>
  <si>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</si>
  <si>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</si>
  <si>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</si>
  <si>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</si>
  <si>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</si>
  <si>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</si>
  <si>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</si>
  <si>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</si>
  <si>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</si>
  <si>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</si>
  <si>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</si>
  <si>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</si>
  <si>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</si>
  <si>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</si>
  <si>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</si>
  <si>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</si>
  <si>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</si>
  <si>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</si>
  <si>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</si>
  <si>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</si>
  <si>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</si>
  <si>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</si>
  <si>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</si>
  <si>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</si>
  <si>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</si>
  <si>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</si>
  <si>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</si>
  <si>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</si>
  <si>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</si>
  <si>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</si>
  <si>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</si>
  <si>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</si>
  <si>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</si>
  <si>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</si>
  <si>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</si>
  <si>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</si>
  <si>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</si>
  <si>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</si>
  <si>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</si>
  <si>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</si>
  <si>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</si>
  <si>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</si>
  <si>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</si>
  <si>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</si>
  <si>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</si>
  <si>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</si>
  <si>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</si>
  <si>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</si>
  <si>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</si>
  <si>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</si>
  <si>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</si>
  <si>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</si>
  <si>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</si>
  <si>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</si>
  <si>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</si>
  <si>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</si>
  <si>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</si>
  <si>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</si>
  <si>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</si>
  <si>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</si>
  <si>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</si>
  <si>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</si>
  <si>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</si>
  <si>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</si>
  <si>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</si>
  <si>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</si>
  <si>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</si>
  <si>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</si>
  <si>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</si>
  <si>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</si>
  <si>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</si>
  <si>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</si>
  <si>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</si>
  <si>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</si>
  <si>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</si>
  <si>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</si>
  <si>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</si>
  <si>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</si>
  <si>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</si>
  <si>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</si>
  <si>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</si>
  <si>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</si>
  <si>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</si>
  <si>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</si>
  <si>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</si>
  <si>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</si>
  <si>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</si>
  <si>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</si>
  <si>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</si>
  <si>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</si>
  <si>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</si>
  <si>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</si>
  <si>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</si>
  <si>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</si>
  <si>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</si>
  <si>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</si>
  <si>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</si>
  <si>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</si>
  <si>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</si>
  <si>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</si>
  <si>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</si>
  <si>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</si>
  <si>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</si>
  <si>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</si>
  <si>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</si>
  <si>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</si>
  <si>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</si>
  <si>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</si>
  <si>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</si>
  <si>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</si>
  <si>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</si>
  <si>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</si>
  <si>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</si>
  <si>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</si>
  <si>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</si>
  <si>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</si>
  <si>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</si>
  <si>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</si>
  <si>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</si>
  <si>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</si>
  <si>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</si>
  <si>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</si>
  <si>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</si>
  <si>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</si>
  <si>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</si>
  <si>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</si>
  <si>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</si>
  <si>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</si>
  <si>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</si>
  <si>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</si>
  <si>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</si>
  <si>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</si>
  <si>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</si>
  <si>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</si>
  <si>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</si>
  <si>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</si>
  <si>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</si>
  <si>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</si>
  <si>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</si>
  <si>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</si>
  <si>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</si>
  <si>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</si>
  <si>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</si>
  <si>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</si>
  <si>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</si>
  <si>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</si>
  <si>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</si>
  <si>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</si>
  <si>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</si>
  <si>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</si>
  <si>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</si>
  <si>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</si>
  <si>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</si>
  <si>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</si>
  <si>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</si>
  <si>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</si>
  <si>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</si>
  <si>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</si>
  <si>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</si>
  <si>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</si>
  <si>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</si>
  <si>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</si>
  <si>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</si>
  <si>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</si>
  <si>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</si>
  <si>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</si>
  <si>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</si>
  <si>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</si>
  <si>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</si>
  <si>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</si>
  <si>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</si>
  <si>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</si>
  <si>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</si>
  <si>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</si>
  <si>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</si>
  <si>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</si>
  <si>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</si>
  <si>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</si>
  <si>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</si>
  <si>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</si>
  <si>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</si>
  <si>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</si>
  <si>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</si>
  <si>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</si>
  <si>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</si>
  <si>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</si>
  <si>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</si>
  <si>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</si>
  <si>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</si>
  <si>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</si>
  <si>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</si>
  <si>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</si>
  <si>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</si>
  <si>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</si>
  <si>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</si>
  <si>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</si>
  <si>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</si>
  <si>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</si>
  <si>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</si>
  <si>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</si>
  <si>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</si>
  <si>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</si>
  <si>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</si>
  <si>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</si>
  <si>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</si>
  <si>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</si>
  <si>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</si>
  <si>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</si>
  <si>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</si>
  <si>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</si>
  <si>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</si>
  <si>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</si>
  <si>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</si>
  <si>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</si>
  <si>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</si>
  <si>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</si>
  <si>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</si>
  <si>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</si>
  <si>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</si>
  <si>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</si>
  <si>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</si>
  <si>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</si>
  <si>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</si>
  <si>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</si>
  <si>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</si>
  <si>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</si>
  <si>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</si>
  <si>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</si>
  <si>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</si>
  <si>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</si>
  <si>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</si>
  <si>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</si>
  <si>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</si>
  <si>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</si>
  <si>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</si>
  <si>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</si>
  <si>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</si>
  <si>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</si>
  <si>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</si>
  <si>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</si>
  <si>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</si>
  <si>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</si>
  <si>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</si>
  <si>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</si>
  <si>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</si>
  <si>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</si>
  <si>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</si>
  <si>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</si>
  <si>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</si>
  <si>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</si>
  <si>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</si>
  <si>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</si>
  <si>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</si>
  <si>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</si>
  <si>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</si>
  <si>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</si>
  <si>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</si>
  <si>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</si>
  <si>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</si>
  <si>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</si>
  <si>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</si>
  <si>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</si>
  <si>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</si>
  <si>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</si>
  <si>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</si>
  <si>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</si>
  <si>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</si>
  <si>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</si>
  <si>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</si>
  <si>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</si>
  <si>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</si>
  <si>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</si>
  <si>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</si>
  <si>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</si>
  <si>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</si>
  <si>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</si>
  <si>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</si>
  <si>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</si>
  <si>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</si>
  <si>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</si>
  <si>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</si>
  <si>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</si>
  <si>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</si>
  <si>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</si>
  <si>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</si>
  <si>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</si>
  <si>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</si>
  <si>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</si>
  <si>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</si>
  <si>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</si>
  <si>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</si>
  <si>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</si>
  <si>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</si>
  <si>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</si>
  <si>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</si>
  <si>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</si>
  <si>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</si>
  <si>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</si>
  <si>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</si>
  <si>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</si>
  <si>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</si>
  <si>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</si>
  <si>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</si>
  <si>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</si>
  <si>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</si>
  <si>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</si>
  <si>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</si>
  <si>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</si>
  <si>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</si>
  <si>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</si>
  <si>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</si>
  <si>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</si>
  <si>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</si>
  <si>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</si>
  <si>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</si>
  <si>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</si>
  <si>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</si>
  <si>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</si>
  <si>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</si>
  <si>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</si>
  <si>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</si>
  <si>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</si>
  <si>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</si>
  <si>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</si>
  <si>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</si>
  <si>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</si>
  <si>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</si>
  <si>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</si>
  <si>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</si>
  <si>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</si>
  <si>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</si>
  <si>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</si>
  <si>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</si>
  <si>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</si>
  <si>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</si>
  <si>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</si>
  <si>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</si>
  <si>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</si>
  <si>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</si>
  <si>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</si>
  <si>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</si>
  <si>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</si>
  <si>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</si>
  <si>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</si>
  <si>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</si>
  <si>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</si>
  <si>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</si>
  <si>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</si>
  <si>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</si>
  <si>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</si>
  <si>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</si>
  <si>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</si>
  <si>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</si>
  <si>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</si>
  <si>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</si>
  <si>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</si>
  <si>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</si>
  <si>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</si>
  <si>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</si>
  <si>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</si>
  <si>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</si>
  <si>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</si>
  <si>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</si>
  <si>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</si>
  <si>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</si>
  <si>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</si>
  <si>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</si>
  <si>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</si>
  <si>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</si>
  <si>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</si>
  <si>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</si>
  <si>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</si>
  <si>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</si>
  <si>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</si>
  <si>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</si>
  <si>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</si>
  <si>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</si>
  <si>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</si>
  <si>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</si>
  <si>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</si>
  <si>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</si>
  <si>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</si>
  <si>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</si>
  <si>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</si>
  <si>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</si>
  <si>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</si>
  <si>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</si>
  <si>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</si>
  <si>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</si>
  <si>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</si>
  <si>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</si>
  <si>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</si>
  <si>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</si>
  <si>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</si>
  <si>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</si>
  <si>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</si>
  <si>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</si>
  <si>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</si>
  <si>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</si>
  <si>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</si>
  <si>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</si>
  <si>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</si>
  <si>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</si>
  <si>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</si>
  <si>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</si>
  <si>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</si>
  <si>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</si>
  <si>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</si>
  <si>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</si>
  <si>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</si>
  <si>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</si>
  <si>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</si>
  <si>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</si>
  <si>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</si>
  <si>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</si>
  <si>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</si>
  <si>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</si>
  <si>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</si>
  <si>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</si>
  <si>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</si>
  <si>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</si>
  <si>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</si>
  <si>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</si>
  <si>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</si>
  <si>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</si>
  <si>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</si>
  <si>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</si>
  <si>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</si>
  <si>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</si>
  <si>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</si>
  <si>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</si>
  <si>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</si>
  <si>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</si>
  <si>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</si>
  <si>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</si>
  <si>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</si>
  <si>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</si>
  <si>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</si>
  <si>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</si>
  <si>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</si>
  <si>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</si>
  <si>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</si>
  <si>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</si>
  <si>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</si>
  <si>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</si>
  <si>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</si>
  <si>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</si>
  <si>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</si>
  <si>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</si>
  <si>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</si>
  <si>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</si>
  <si>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</si>
  <si>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</si>
  <si>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</si>
  <si>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</si>
  <si>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</si>
  <si>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</si>
  <si>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</si>
  <si>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</si>
  <si>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</si>
  <si>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</si>
  <si>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</si>
  <si>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</si>
  <si>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</si>
  <si>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</si>
  <si>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</si>
  <si>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</si>
  <si>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</si>
  <si>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</si>
  <si>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</si>
  <si>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</si>
  <si>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</si>
  <si>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</si>
  <si>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</si>
  <si>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</si>
  <si>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</si>
  <si>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</si>
  <si>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</si>
  <si>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</si>
  <si>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</si>
  <si>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</si>
  <si>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</si>
  <si>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</si>
  <si>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</si>
  <si>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</si>
  <si>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</si>
  <si>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</si>
  <si>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</si>
  <si>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</si>
  <si>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</si>
  <si>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</si>
  <si>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</si>
  <si>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</si>
  <si>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</si>
  <si>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</si>
  <si>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</si>
  <si>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</si>
  <si>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</si>
  <si>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</si>
  <si>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</si>
  <si>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</si>
  <si>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</si>
  <si>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</si>
  <si>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</si>
  <si>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</si>
  <si>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</si>
  <si>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</si>
  <si>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</si>
  <si>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</si>
  <si>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</si>
  <si>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</si>
  <si>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</si>
  <si>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</si>
  <si>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</si>
  <si>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</si>
  <si>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</si>
  <si>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</si>
  <si>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</si>
  <si>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</si>
  <si>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</si>
  <si>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</si>
  <si>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</si>
  <si>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</si>
  <si>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</si>
  <si>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</si>
  <si>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</si>
  <si>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</si>
  <si>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</si>
  <si>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</si>
  <si>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</si>
  <si>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</si>
  <si>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</si>
  <si>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</si>
  <si>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</si>
  <si>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</si>
  <si>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</si>
  <si>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</si>
  <si>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</si>
  <si>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</si>
  <si>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</si>
  <si>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</si>
  <si>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</si>
  <si>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</si>
  <si>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</si>
  <si>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</si>
  <si>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</si>
  <si>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</si>
  <si>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</si>
  <si>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</si>
  <si>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</si>
  <si>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</si>
  <si>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</si>
  <si>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</si>
  <si>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</si>
  <si>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</si>
  <si>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</si>
  <si>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</si>
  <si>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</si>
  <si>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</si>
  <si>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</si>
  <si>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</si>
  <si>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</si>
  <si>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</si>
  <si>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</si>
  <si>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</si>
  <si>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</si>
  <si>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</si>
  <si>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</si>
  <si>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</si>
  <si>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</si>
  <si>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</si>
  <si>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</si>
  <si>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</si>
  <si>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</si>
  <si>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</si>
  <si>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</si>
  <si>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</si>
  <si>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</si>
  <si>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</si>
  <si>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</si>
  <si>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</si>
  <si>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</si>
  <si>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</si>
  <si>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</si>
  <si>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</si>
  <si>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</si>
  <si>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</si>
  <si>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</si>
  <si>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</si>
  <si>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</si>
  <si>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</si>
  <si>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</si>
  <si>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</si>
  <si>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</si>
  <si>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</si>
  <si>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</si>
  <si>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</si>
  <si>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</si>
  <si>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</si>
  <si>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</si>
  <si>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</si>
  <si>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</si>
  <si>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</si>
  <si>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</si>
  <si>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</si>
  <si>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</si>
  <si>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</si>
  <si>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</si>
  <si>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</si>
  <si>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</si>
  <si>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</si>
  <si>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</si>
  <si>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</si>
  <si>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</si>
  <si>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</si>
  <si>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</si>
  <si>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</si>
  <si>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</si>
  <si>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</si>
  <si>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</si>
  <si>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</si>
  <si>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</si>
  <si>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</si>
  <si>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</si>
  <si>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</si>
  <si>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</si>
  <si>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</si>
  <si>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</si>
  <si>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</si>
  <si>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</si>
  <si>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</si>
  <si>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</si>
  <si>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</si>
  <si>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</si>
  <si>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</si>
  <si>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</si>
  <si>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</si>
  <si>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</si>
  <si>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</si>
  <si>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</si>
  <si>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</si>
  <si>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</si>
  <si>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</si>
  <si>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</si>
  <si>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</si>
  <si>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</si>
  <si>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</si>
  <si>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</si>
  <si>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</si>
  <si>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</si>
  <si>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</si>
  <si>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</si>
  <si>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</si>
  <si>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</si>
  <si>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</si>
  <si>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</si>
  <si>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</si>
  <si>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</si>
  <si>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</si>
  <si>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</si>
  <si>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</si>
  <si>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</si>
  <si>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</si>
  <si>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</si>
  <si>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</si>
  <si>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</si>
  <si>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</si>
  <si>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</si>
  <si>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</si>
  <si>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</si>
  <si>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</si>
  <si>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</si>
  <si>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</si>
  <si>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</si>
  <si>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</si>
  <si>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</si>
  <si>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</si>
  <si>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</si>
  <si>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</si>
  <si>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</si>
  <si>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</si>
  <si>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</si>
  <si>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</si>
  <si>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</si>
  <si>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</si>
  <si>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</si>
  <si>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</si>
  <si>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</si>
  <si>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</si>
  <si>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</si>
  <si>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</si>
  <si>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</si>
  <si>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</si>
  <si>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</si>
  <si>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</si>
  <si>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</si>
  <si>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</si>
  <si>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</si>
  <si>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</si>
  <si>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</si>
  <si>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</si>
  <si>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</si>
  <si>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</si>
  <si>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</si>
  <si>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</si>
  <si>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</si>
  <si>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</si>
  <si>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</si>
  <si>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</si>
  <si>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</si>
  <si>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</si>
  <si>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</si>
  <si>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</si>
  <si>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</si>
  <si>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</si>
  <si>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</si>
  <si>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</si>
  <si>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</si>
  <si>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</si>
  <si>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</si>
  <si>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</si>
  <si>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</si>
  <si>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</si>
  <si>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</si>
  <si>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</si>
  <si>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</si>
  <si>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</si>
  <si>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</si>
  <si>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</si>
  <si>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</si>
  <si>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</si>
  <si>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</si>
  <si>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</si>
  <si>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</si>
  <si>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</si>
  <si>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</si>
  <si>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</si>
  <si>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</si>
  <si>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</si>
  <si>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</si>
  <si>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</si>
  <si>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</si>
  <si>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</si>
  <si>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</si>
  <si>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</si>
  <si>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</si>
  <si>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</si>
  <si>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</si>
  <si>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</si>
  <si>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</si>
  <si>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</si>
  <si>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</si>
  <si>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</si>
  <si>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</si>
  <si>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</si>
  <si>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</si>
  <si>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</si>
  <si>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</si>
  <si>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</si>
  <si>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</si>
  <si>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</si>
  <si>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</si>
  <si>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</si>
  <si>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</si>
  <si>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</si>
  <si>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</si>
  <si>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</si>
  <si>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</si>
  <si>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</si>
  <si>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</si>
  <si>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</si>
  <si>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</si>
  <si>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</si>
  <si>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</si>
  <si>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</si>
  <si>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</si>
  <si>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</si>
  <si>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</si>
  <si>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</si>
  <si>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</si>
  <si>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</si>
  <si>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</si>
  <si>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</si>
  <si>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</si>
  <si>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</si>
  <si>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</si>
  <si>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</si>
  <si>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</si>
  <si>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</si>
  <si>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</si>
  <si>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</si>
  <si>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</si>
  <si>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</si>
  <si>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</si>
  <si>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</si>
  <si>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</si>
  <si>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</si>
  <si>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</si>
  <si>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</si>
  <si>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</si>
  <si>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</si>
  <si>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</si>
  <si>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</si>
  <si>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</si>
  <si>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</si>
  <si>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</si>
  <si>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</si>
  <si>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</si>
  <si>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</si>
  <si>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</si>
  <si>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</si>
  <si>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</si>
  <si>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</si>
  <si>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</si>
  <si>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</si>
  <si>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</si>
  <si>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</si>
  <si>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</si>
  <si>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</si>
  <si>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</si>
  <si>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</si>
  <si>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</si>
  <si>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</si>
  <si>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</si>
  <si>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</si>
  <si>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</si>
  <si>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</si>
  <si>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</si>
  <si>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</si>
  <si>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</si>
  <si>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</si>
  <si>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</si>
  <si>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</si>
  <si>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</si>
  <si>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</si>
  <si>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</si>
  <si>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</si>
  <si>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</si>
  <si>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</si>
  <si>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</si>
  <si>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</si>
  <si>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</si>
  <si>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</si>
  <si>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</si>
  <si>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</si>
  <si>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</si>
  <si>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</si>
  <si>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</si>
  <si>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</si>
  <si>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</si>
  <si>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</si>
  <si>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</si>
  <si>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</si>
  <si>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</si>
  <si>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</si>
  <si>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</si>
  <si>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</si>
  <si>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</si>
  <si>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</si>
  <si>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</si>
  <si>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</si>
  <si>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</si>
  <si>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</si>
  <si>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</si>
  <si>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</si>
  <si>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</si>
  <si>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</si>
  <si>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</si>
  <si>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</si>
  <si>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</si>
  <si>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</si>
  <si>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</si>
  <si>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</si>
  <si>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</si>
  <si>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</si>
  <si>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</si>
  <si>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</si>
  <si>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</si>
  <si>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</si>
  <si>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</si>
  <si>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</si>
  <si>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</si>
  <si>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</si>
  <si>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</si>
  <si>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</si>
  <si>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</si>
  <si>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</si>
  <si>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</si>
  <si>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</si>
  <si>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</si>
  <si>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</si>
  <si>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</si>
  <si>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</si>
  <si>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</si>
  <si>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</si>
  <si>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</si>
  <si>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</si>
  <si>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</si>
  <si>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</si>
  <si>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</si>
  <si>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</si>
  <si>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</si>
  <si>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</si>
  <si>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</si>
  <si>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</si>
  <si>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</si>
  <si>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</si>
  <si>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</si>
  <si>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</si>
  <si>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J. Crebassa</t>
  </si>
  <si>
    <t xml:space="preserve">conforme AFNOR T90-395 oct. 2003</t>
  </si>
  <si>
    <t xml:space="preserve">VERDON</t>
  </si>
  <si>
    <t xml:space="preserve">Saint André les Alpes</t>
  </si>
  <si>
    <t xml:space="preserve">06159900</t>
  </si>
  <si>
    <t xml:space="preserve">7178b - IBMR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</si>
  <si>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</si>
  <si>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</si>
  <si>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</si>
  <si>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</si>
  <si>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</si>
  <si>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</si>
  <si>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</si>
  <si>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</si>
  <si>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</si>
  <si>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</si>
  <si>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</si>
  <si>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</si>
  <si>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</si>
  <si>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</si>
  <si>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</si>
  <si>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</si>
  <si>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</si>
  <si>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</si>
  <si>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</si>
  <si>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</si>
  <si>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</si>
  <si>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</si>
  <si>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</si>
  <si>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</si>
  <si>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</si>
  <si>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</si>
  <si>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</si>
  <si>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</si>
  <si>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</si>
  <si>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</si>
  <si>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</si>
  <si>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</si>
  <si>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</si>
  <si>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</si>
  <si>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</si>
  <si>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</si>
  <si>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</si>
  <si>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</si>
  <si>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</si>
  <si>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</si>
  <si>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</si>
  <si>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</si>
  <si>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</si>
  <si>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</si>
  <si>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</si>
  <si>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</si>
  <si>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</si>
  <si>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</si>
  <si>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</si>
  <si>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(0,0436 %)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</si>
  <si>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</si>
  <si>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</si>
  <si>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</si>
  <si>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</si>
  <si>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</si>
  <si>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</si>
  <si>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</si>
  <si>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</si>
  <si>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</si>
  <si>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</si>
  <si>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</si>
  <si>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</si>
  <si>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</si>
  <si>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</si>
  <si>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</si>
  <si>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</si>
  <si>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</si>
  <si>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</si>
  <si>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</si>
  <si>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</si>
  <si>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Elytrigia repens</t>
  </si>
  <si>
    <t xml:space="preserve">Didymosphenia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</si>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</sst>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41509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11.5714285714286</v>
      </c>
      <c r="M5" s="323"/>
      <c r="N5" s="324" t="s">
        <v>228</v>
      </c>
      <c r="O5" s="325" t="n">
        <v>11</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96</v>
      </c>
      <c r="C7" s="337" t="n">
        <v>4</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v>
      </c>
      <c r="O8" s="354" t="n">
        <f aca="false">IF(ISERROR(AVERAGE(J23:J82)),"      -",AVERAGE(J23:J82))</f>
        <v>1.16666666666667</v>
      </c>
      <c r="P8" s="355"/>
      <c r="Q8" s="280"/>
      <c r="R8" s="280"/>
      <c r="S8" s="280"/>
      <c r="T8" s="280"/>
      <c r="U8" s="280"/>
      <c r="V8" s="280"/>
      <c r="W8" s="292"/>
      <c r="X8" s="293"/>
    </row>
    <row r="9" customFormat="false" ht="13.5" hidden="false" customHeight="false" outlineLevel="0" collapsed="false">
      <c r="A9" s="313" t="s">
        <v>2635</v>
      </c>
      <c r="B9" s="356" t="n">
        <v>0.05</v>
      </c>
      <c r="C9" s="357" t="n">
        <v>0.01</v>
      </c>
      <c r="D9" s="358"/>
      <c r="E9" s="358"/>
      <c r="F9" s="359" t="n">
        <f aca="false">($B9*$B$7+$C9*$C$7)/100</f>
        <v>0.0484</v>
      </c>
      <c r="G9" s="360"/>
      <c r="H9" s="361"/>
      <c r="I9" s="362"/>
      <c r="J9" s="363"/>
      <c r="K9" s="343"/>
      <c r="L9" s="364"/>
      <c r="M9" s="353" t="s">
        <v>2636</v>
      </c>
      <c r="N9" s="354" t="n">
        <f aca="false">IF(ISERROR(STDEVP(I23:I82)),"     -",STDEVP(I23:I82))</f>
        <v>5.47722557505166</v>
      </c>
      <c r="O9" s="354" t="n">
        <f aca="false">IF(ISERROR(STDEVP(J23:J82)),"      -",STDEVP(J23:J82))</f>
        <v>1.06718737290547</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4</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8</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6</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v>
      </c>
      <c r="L15" s="386"/>
      <c r="M15" s="407" t="s">
        <v>2654</v>
      </c>
      <c r="N15" s="408" t="n">
        <f aca="false">COUNTIF(J23:J82,"=1")</f>
        <v>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1</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0.045</v>
      </c>
      <c r="C20" s="436" t="n">
        <f aca="false">SUM(C23:C82)</f>
        <v>0.01</v>
      </c>
      <c r="D20" s="437"/>
      <c r="E20" s="438" t="s">
        <v>2660</v>
      </c>
      <c r="F20" s="439" t="n">
        <f aca="false">($B20*$B$7+$C20*$C$7)/100</f>
        <v>0.0436</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0.0432</v>
      </c>
      <c r="C21" s="449" t="n">
        <f aca="false">C20*C7/100</f>
        <v>0.0004</v>
      </c>
      <c r="D21" s="381" t="str">
        <f aca="false">IF(F21=0,"",IF((ABS(F21-F19))&gt;(0.2*F21),CONCATENATE(" rec. par taxa (",F21," %) supérieur à 20 % !"),""))</f>
        <v> rec. par taxa (0,0436 %) supérieur à 20 % !</v>
      </c>
      <c r="E21" s="450" t="str">
        <f aca="false">IF(F21=0,"",IF((ABS(F21-F19))&gt;(0.2*F21),CONCATENATE("ATTENTION : écart entre rec. par grp (",F19," %) ","et",""),""))</f>
        <v>ATTENTION : écart entre rec. par grp (0 %) et</v>
      </c>
      <c r="F21" s="451" t="n">
        <f aca="false">B21+C21</f>
        <v>0.0436</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0.005</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0.0048</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0.0048</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X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228</v>
      </c>
      <c r="B24" s="494" t="n">
        <v>0.005</v>
      </c>
      <c r="C24" s="495"/>
      <c r="D24" s="477" t="str">
        <f aca="false">IF(ISERROR(VLOOKUP($A24,'liste reference'!$A$7:$D$904,2,0)),IF(ISERROR(VLOOKUP($A24,'liste reference'!$B$7:$D$904,1,0)),"",VLOOKUP($A24,'liste reference'!$B$7:$D$904,1,0)),VLOOKUP($A24,'liste reference'!$A$7:$D$904,2,0))</f>
        <v>Phormidium sp.</v>
      </c>
      <c r="E24" s="496" t="e">
        <f aca="false">IF(D24="",0,VLOOKUP(D24,D$22:D23,1,0))</f>
        <v>#N/A</v>
      </c>
      <c r="F24" s="497" t="n">
        <f aca="false">($B24*$B$7+$C24*$C$7)/100</f>
        <v>0.0048</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13</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Phormidium sp.</v>
      </c>
      <c r="L24" s="498"/>
      <c r="M24" s="498"/>
      <c r="N24" s="498"/>
      <c r="O24" s="484" t="s">
        <v>2685</v>
      </c>
      <c r="P24" s="485" t="n">
        <f aca="false">IF($A24="NEWCOD",IF($AC24="","No",$AC24),IF(ISTEXT($E24),"DEJA SAISI !",IF($A24="","",IF(ISERROR(VLOOKUP($A24,'liste reference'!A:S,19,FALSE())),IF(ISERROR(VLOOKUP($A24,'liste reference'!B:S,19,FALSE())),"",VLOOKUP($A24,'liste reference'!B:S,19,FALSE())),VLOOKUP($A24,'liste reference'!A:S,19,FALSE())))))</f>
        <v>6414</v>
      </c>
      <c r="Q24" s="486" t="n">
        <f aca="false">IF(ISTEXT(H24),"",(B24*$B$7/100)+(C24*$C$7/100))</f>
        <v>0.0048</v>
      </c>
      <c r="R24" s="487" t="n">
        <f aca="false">IF(OR(ISTEXT(H24),Q24=0),"",IF(Q24&lt;0.1,1,IF(Q24&lt;1,2,IF(Q24&lt;10,3,IF(Q24&lt;50,4,IF(Q24&gt;=50,5,""))))))</f>
        <v>1</v>
      </c>
      <c r="S24" s="487" t="n">
        <f aca="false">IF(ISERROR(R24*I24),0,R24*I24)</f>
        <v>13</v>
      </c>
      <c r="T24" s="487" t="n">
        <f aca="false">IF(ISERROR(R24*I24*J24),0,R24*I24*J24)</f>
        <v>26</v>
      </c>
      <c r="U24" s="499" t="n">
        <f aca="false">IF(ISERROR(R24*J24),0,R24*J24)</f>
        <v>2</v>
      </c>
      <c r="V24" s="488" t="str">
        <f aca="false">IF(AND(A24="",F24=0),"",IF(F24=0,"Il manque le(s) % de rec. !",""))</f>
        <v/>
      </c>
      <c r="W24" s="489"/>
      <c r="Y24" s="490" t="str">
        <f aca="false">IF(A24="new.cod","NEWCOD",IF(AND((Z24=""),ISTEXT(A24)),A24,IF(Z24="","",INDEX('liste reference'!$A$8:$A$904,Z24))))</f>
        <v>PHOSPX</v>
      </c>
      <c r="Z24" s="280" t="n">
        <f aca="false">IF(ISERROR(MATCH(A24,'liste reference'!$A$8:$A$904,0)),IF(ISERROR(MATCH(A24,'liste reference'!$B$8:$B$904,0)),"",(MATCH(A24,'liste reference'!$B$8:$B$904,0))),(MATCH(A24,'liste reference'!$A$8:$A$904,0)))</f>
        <v>57</v>
      </c>
      <c r="AA24" s="491" t="s">
        <v>2685</v>
      </c>
      <c r="AB24" s="492"/>
      <c r="AC24" s="492"/>
      <c r="BB24" s="280" t="n">
        <f aca="false">IF(A24="","",1)</f>
        <v>1</v>
      </c>
    </row>
    <row r="25" customFormat="false" ht="12.75" hidden="false" customHeight="false" outlineLevel="0" collapsed="false">
      <c r="A25" s="493" t="s">
        <v>258</v>
      </c>
      <c r="B25" s="494" t="n">
        <v>0.005</v>
      </c>
      <c r="C25" s="495" t="n">
        <v>0.005</v>
      </c>
      <c r="D25" s="477" t="str">
        <f aca="false">IF(ISERROR(VLOOKUP($A25,'liste reference'!$A$7:$D$904,2,0)),IF(ISERROR(VLOOKUP($A25,'liste reference'!$B$7:$D$904,1,0)),"",VLOOKUP($A25,'liste reference'!$B$7:$D$904,1,0)),VLOOKUP($A25,'liste reference'!$A$7:$D$904,2,0))</f>
        <v>Spirogyra sp.</v>
      </c>
      <c r="E25" s="496" t="e">
        <f aca="false">IF(D25="",0,VLOOKUP(D25,D$22:D24,1,0))</f>
        <v>#N/A</v>
      </c>
      <c r="F25" s="497" t="n">
        <f aca="false">($B25*$B$7+$C25*$C$7)/100</f>
        <v>0.005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Spirogyra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1147</v>
      </c>
      <c r="Q25" s="486" t="n">
        <f aca="false">IF(ISTEXT(H25),"",(B25*$B$7/100)+(C25*$C$7/100))</f>
        <v>0.005</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SPISPX</v>
      </c>
      <c r="Z25" s="280" t="n">
        <f aca="false">IF(ISERROR(MATCH(A25,'liste reference'!$A$8:$A$904,0)),IF(ISERROR(MATCH(A25,'liste reference'!$B$8:$B$904,0)),"",(MATCH(A25,'liste reference'!$B$8:$B$904,0))),(MATCH(A25,'liste reference'!$A$8:$A$904,0)))</f>
        <v>69</v>
      </c>
      <c r="AA25" s="491"/>
      <c r="AB25" s="492"/>
      <c r="AC25" s="492"/>
      <c r="BB25" s="280" t="n">
        <f aca="false">IF(A25="","",1)</f>
        <v>1</v>
      </c>
    </row>
    <row r="26" customFormat="false" ht="12.75" hidden="false" customHeight="false" outlineLevel="0" collapsed="false">
      <c r="A26" s="493" t="s">
        <v>304</v>
      </c>
      <c r="B26" s="494" t="n">
        <v>0.005</v>
      </c>
      <c r="C26" s="495" t="n">
        <v>0.005</v>
      </c>
      <c r="D26" s="477" t="str">
        <f aca="false">IF(ISERROR(VLOOKUP($A26,'liste reference'!$A$7:$D$904,2,0)),IF(ISERROR(VLOOKUP($A26,'liste reference'!$B$7:$D$904,1,0)),"",VLOOKUP($A26,'liste reference'!$B$7:$D$904,1,0)),VLOOKUP($A26,'liste reference'!$A$7:$D$904,2,0))</f>
        <v>Zygnema sp.</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3</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Zygnema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1148</v>
      </c>
      <c r="Q26" s="486" t="n">
        <f aca="false">IF(ISTEXT(H26),"",(B26*$B$7/100)+(C26*$C$7/100))</f>
        <v>0.005</v>
      </c>
      <c r="R26" s="487" t="n">
        <f aca="false">IF(OR(ISTEXT(H26),Q26=0),"",IF(Q26&lt;0.1,1,IF(Q26&lt;1,2,IF(Q26&lt;10,3,IF(Q26&lt;50,4,IF(Q26&gt;=50,5,""))))))</f>
        <v>1</v>
      </c>
      <c r="S26" s="487" t="n">
        <f aca="false">IF(ISERROR(R26*I26),0,R26*I26)</f>
        <v>13</v>
      </c>
      <c r="T26" s="487" t="n">
        <f aca="false">IF(ISERROR(R26*I26*J26),0,R26*I26*J26)</f>
        <v>39</v>
      </c>
      <c r="U26" s="499" t="n">
        <f aca="false">IF(ISERROR(R26*J26),0,R26*J26)</f>
        <v>3</v>
      </c>
      <c r="V26" s="488" t="str">
        <f aca="false">IF(AND(A26="",F26=0),"",IF(F26=0,"Il manque le(s) % de rec. !",""))</f>
        <v/>
      </c>
      <c r="W26" s="489"/>
      <c r="Y26" s="490" t="str">
        <f aca="false">IF(A26="new.cod","NEWCOD",IF(AND((Z26=""),ISTEXT(A26)),A26,IF(Z26="","",INDEX('liste reference'!$A$8:$A$904,Z26))))</f>
        <v>ZYGSPX</v>
      </c>
      <c r="Z26" s="280" t="n">
        <f aca="false">IF(ISERROR(MATCH(A26,'liste reference'!$A$8:$A$904,0)),IF(ISERROR(MATCH(A26,'liste reference'!$B$8:$B$904,0)),"",(MATCH(A26,'liste reference'!$B$8:$B$904,0))),(MATCH(A26,'liste reference'!$A$8:$A$904,0)))</f>
        <v>83</v>
      </c>
      <c r="AA26" s="491"/>
      <c r="AB26" s="492"/>
      <c r="AC26" s="492"/>
      <c r="BB26" s="280" t="n">
        <f aca="false">IF(A26="","",1)</f>
        <v>1</v>
      </c>
    </row>
    <row r="27" customFormat="false" ht="12.75" hidden="false" customHeight="false" outlineLevel="0" collapsed="false">
      <c r="A27" s="493" t="s">
        <v>1153</v>
      </c>
      <c r="B27" s="494" t="n">
        <v>0.005</v>
      </c>
      <c r="C27" s="495"/>
      <c r="D27" s="477" t="str">
        <f aca="false">IF(ISERROR(VLOOKUP($A27,'liste reference'!$A$7:$D$904,2,0)),IF(ISERROR(VLOOKUP($A27,'liste reference'!$B$7:$D$904,1,0)),"",VLOOKUP($A27,'liste reference'!$B$7:$D$904,1,0)),VLOOKUP($A27,'liste reference'!$A$7:$D$904,2,0))</f>
        <v>Equisetum arvense</v>
      </c>
      <c r="E27" s="496" t="e">
        <f aca="false">IF(D27="",0,VLOOKUP(D27,D$22:D26,1,0))</f>
        <v>#N/A</v>
      </c>
      <c r="F27" s="497" t="n">
        <f aca="false">($B27*$B$7+$C27*$C$7)/100</f>
        <v>0.0048</v>
      </c>
      <c r="G27" s="479" t="str">
        <f aca="false">IF(A27="","",IF(ISERROR(VLOOKUP($A27,'liste reference'!$A$7:$P$904,13,0)),IF(ISERROR(VLOOKUP($A27,'liste reference'!$B$7:$P$904,12,0)),"    -",VLOOKUP($A27,'liste reference'!$B$7:$P$904,12,0)),VLOOKUP($A27,'liste reference'!$A$7:$P$904,13,0)))</f>
        <v>PTE</v>
      </c>
      <c r="H27" s="480" t="n">
        <f aca="false">IF(A27="","x",IF(ISERROR(VLOOKUP($A27,'liste reference'!$A$8:$P$904,14,0)),IF(ISERROR(VLOOKUP($A27,'liste reference'!$B$8:$P$904,13,0)),"x",VLOOKUP($A27,'liste reference'!$B$8:$P$904,13,0)),VLOOKUP($A27,'liste reference'!$A$8:$P$904,14,0)))</f>
        <v>6</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Equisetum arvense</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1384</v>
      </c>
      <c r="Q27" s="486" t="n">
        <f aca="false">IF(ISTEXT(H27),"",(B27*$B$7/100)+(C27*$C$7/100))</f>
        <v>0.0048</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EQUARV</v>
      </c>
      <c r="Z27" s="280" t="n">
        <f aca="false">IF(ISERROR(MATCH(A27,'liste reference'!$A$8:$A$904,0)),IF(ISERROR(MATCH(A27,'liste reference'!$B$8:$B$904,0)),"",(MATCH(A27,'liste reference'!$B$8:$B$904,0))),(MATCH(A27,'liste reference'!$A$8:$A$904,0)))</f>
        <v>278</v>
      </c>
      <c r="AA27" s="491"/>
      <c r="AB27" s="492"/>
      <c r="AC27" s="492"/>
      <c r="BB27" s="280" t="n">
        <f aca="false">IF(A27="","",1)</f>
        <v>1</v>
      </c>
    </row>
    <row r="28" customFormat="false" ht="12.75" hidden="false" customHeight="false" outlineLevel="0" collapsed="false">
      <c r="A28" s="493" t="s">
        <v>2362</v>
      </c>
      <c r="B28" s="494" t="n">
        <v>0.005</v>
      </c>
      <c r="C28" s="495"/>
      <c r="D28" s="477" t="str">
        <f aca="false">IF(ISERROR(VLOOKUP($A28,'liste reference'!$A$7:$D$904,2,0)),IF(ISERROR(VLOOKUP($A28,'liste reference'!$B$7:$D$904,1,0)),"",VLOOKUP($A28,'liste reference'!$B$7:$D$904,1,0)),VLOOKUP($A28,'liste reference'!$A$7:$D$904,2,0))</f>
        <v>Poa sp.</v>
      </c>
      <c r="E28" s="496" t="e">
        <f aca="false">IF(D28="",0,VLOOKUP(D28,D$22:D27,1,0))</f>
        <v>#N/A</v>
      </c>
      <c r="F28" s="497" t="n">
        <f aca="false">($B28*$B$7+$C28*$C$7)/100</f>
        <v>0.0048</v>
      </c>
      <c r="G28" s="479" t="str">
        <f aca="false">IF(A28="","",IF(ISERROR(VLOOKUP($A28,'liste reference'!$A$7:$P$904,13,0)),IF(ISERROR(VLOOKUP($A28,'liste reference'!$B$7:$P$904,12,0)),"    -",VLOOKUP($A28,'liste reference'!$B$7:$P$904,12,0)),VLOOKUP($A28,'liste reference'!$A$7:$P$904,13,0)))</f>
        <v>PHg</v>
      </c>
      <c r="H28" s="480" t="n">
        <f aca="false">IF(A28="","x",IF(ISERROR(VLOOKUP($A28,'liste reference'!$A$8:$P$904,14,0)),IF(ISERROR(VLOOKUP($A28,'liste reference'!$B$8:$P$904,13,0)),"x",VLOOKUP($A28,'liste reference'!$B$8:$P$904,13,0)),VLOOKUP($A28,'liste reference'!$A$8:$P$904,14,0)))</f>
        <v>9</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Poa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1580</v>
      </c>
      <c r="Q28" s="486" t="n">
        <f aca="false">IF(ISTEXT(H28),"",(B28*$B$7/100)+(C28*$C$7/100))</f>
        <v>0.0048</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POASPX</v>
      </c>
      <c r="Z28" s="280" t="n">
        <f aca="false">IF(ISERROR(MATCH(A28,'liste reference'!$A$8:$A$904,0)),IF(ISERROR(MATCH(A28,'liste reference'!$B$8:$B$904,0)),"",(MATCH(A28,'liste reference'!$B$8:$B$904,0))),(MATCH(A28,'liste reference'!$A$8:$A$904,0)))</f>
        <v>793</v>
      </c>
      <c r="AA28" s="491"/>
      <c r="AB28" s="492"/>
      <c r="AC28" s="492"/>
      <c r="BB28" s="280" t="n">
        <f aca="false">IF(A28="","",1)</f>
        <v>1</v>
      </c>
    </row>
    <row r="29" customFormat="false" ht="12.75" hidden="false" customHeight="false" outlineLevel="0" collapsed="false">
      <c r="A29" s="493" t="s">
        <v>2686</v>
      </c>
      <c r="B29" s="494" t="n">
        <v>0.005</v>
      </c>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0.0048</v>
      </c>
      <c r="G29" s="479" t="str">
        <f aca="false">IF(A29="","",IF(ISERROR(VLOOKUP($A29,'liste reference'!$A$7:$P$904,13,0)),IF(ISERROR(VLOOKUP($A29,'liste reference'!$B$7:$P$904,12,0)),"    -",VLOOKUP($A29,'liste reference'!$B$7:$P$904,12,0)),VLOOKUP($A29,'liste reference'!$A$7:$P$904,13,0)))</f>
        <v>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Elytrigia repens</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No</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500"/>
      <c r="Y29" s="490" t="str">
        <f aca="false">IF(A29="new.cod","NEWCOD",IF(AND((Z29=""),ISTEXT(A29)),A29,IF(Z29="","",INDEX('liste reference'!$A$8:$A$904,Z29))))</f>
        <v>NEWCOD</v>
      </c>
      <c r="Z29" s="280" t="str">
        <f aca="false">IF(ISERROR(MATCH(A29,'liste reference'!$A$8:$A$904,0)),IF(ISERROR(MATCH(A29,'liste reference'!$B$8:$B$904,0)),"",(MATCH(A29,'liste reference'!$B$8:$B$904,0))),(MATCH(A29,'liste reference'!$A$8:$A$904,0)))</f>
        <v/>
      </c>
      <c r="AA29" s="491"/>
      <c r="AB29" s="492" t="s">
        <v>2687</v>
      </c>
      <c r="AC29" s="492"/>
      <c r="BB29" s="280" t="n">
        <f aca="false">IF(A29="","",1)</f>
        <v>1</v>
      </c>
    </row>
    <row r="30" customFormat="false" ht="12.75" hidden="false" customHeight="false" outlineLevel="0" collapsed="false">
      <c r="A30" s="493" t="s">
        <v>2686</v>
      </c>
      <c r="B30" s="494" t="n">
        <v>0.01</v>
      </c>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0.0096</v>
      </c>
      <c r="G30" s="479" t="str">
        <f aca="false">IF(A30="","",IF(ISERROR(VLOOKUP($A30,'liste reference'!$A$7:$P$904,13,0)),IF(ISERROR(VLOOKUP($A30,'liste reference'!$B$7:$P$904,12,0)),"    -",VLOOKUP($A30,'liste reference'!$B$7:$P$904,12,0)),VLOOKUP($A30,'liste reference'!$A$7:$P$904,13,0)))</f>
        <v>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Didymosphenia sp.</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No</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NEWCOD</v>
      </c>
      <c r="Z30" s="280" t="str">
        <f aca="false">IF(ISERROR(MATCH(A30,'liste reference'!$A$8:$A$904,0)),IF(ISERROR(MATCH(A30,'liste reference'!$B$8:$B$904,0)),"",(MATCH(A30,'liste reference'!$B$8:$B$904,0))),(MATCH(A30,'liste reference'!$A$8:$A$904,0)))</f>
        <v/>
      </c>
      <c r="AA30" s="491"/>
      <c r="AB30" s="492" t="s">
        <v>2688</v>
      </c>
      <c r="AC30" s="492"/>
      <c r="BB30" s="280" t="n">
        <f aca="false">IF(A30="","",1)</f>
        <v>1</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VERDON</v>
      </c>
      <c r="B84" s="529" t="str">
        <f aca="false">C3</f>
        <v>Saint André les Alpes</v>
      </c>
      <c r="C84" s="530" t="n">
        <f aca="false">A4</f>
        <v>41509</v>
      </c>
      <c r="D84" s="531" t="n">
        <f aca="false">IF(ISERROR(SUM($T$23:$T$82)/SUM($U$23:$U$82)),"",SUM($T$23:$T$82)/SUM($U$23:$U$82))</f>
        <v>11.5714285714286</v>
      </c>
      <c r="E84" s="532" t="n">
        <f aca="false">N13</f>
        <v>8</v>
      </c>
      <c r="F84" s="529" t="n">
        <f aca="false">N14</f>
        <v>6</v>
      </c>
      <c r="G84" s="529" t="n">
        <f aca="false">N15</f>
        <v>2</v>
      </c>
      <c r="H84" s="529" t="n">
        <f aca="false">N16</f>
        <v>1</v>
      </c>
      <c r="I84" s="529" t="n">
        <f aca="false">N17</f>
        <v>1</v>
      </c>
      <c r="J84" s="533" t="n">
        <f aca="false">N8</f>
        <v>7</v>
      </c>
      <c r="K84" s="531" t="n">
        <f aca="false">N9</f>
        <v>5.47722557505166</v>
      </c>
      <c r="L84" s="532" t="n">
        <f aca="false">N10</f>
        <v>0</v>
      </c>
      <c r="M84" s="532" t="n">
        <f aca="false">N11</f>
        <v>13</v>
      </c>
      <c r="N84" s="531" t="n">
        <f aca="false">O8</f>
        <v>1.16666666666667</v>
      </c>
      <c r="O84" s="531" t="n">
        <f aca="false">O9</f>
        <v>1.06718737290547</v>
      </c>
      <c r="P84" s="532" t="n">
        <f aca="false">O10</f>
        <v>0</v>
      </c>
      <c r="Q84" s="532" t="n">
        <f aca="false">O11</f>
        <v>3</v>
      </c>
      <c r="R84" s="532" t="n">
        <f aca="false">F21</f>
        <v>0.0436</v>
      </c>
      <c r="S84" s="532" t="n">
        <f aca="false">K11</f>
        <v>0</v>
      </c>
      <c r="T84" s="532" t="n">
        <f aca="false">K12</f>
        <v>4</v>
      </c>
      <c r="U84" s="532" t="n">
        <f aca="false">K13</f>
        <v>0</v>
      </c>
      <c r="V84" s="534" t="n">
        <f aca="false">K14</f>
        <v>1</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13</v>
      </c>
      <c r="T87" s="280"/>
      <c r="U87" s="280"/>
      <c r="V87" s="280"/>
    </row>
    <row r="88" customFormat="false" ht="12.75" hidden="true" customHeight="false" outlineLevel="0" collapsed="false">
      <c r="P88" s="280"/>
      <c r="Q88" s="280" t="s">
        <v>2692</v>
      </c>
      <c r="R88" s="280"/>
      <c r="S88" s="488" t="n">
        <f aca="false">VLOOKUP((S87),($S$23:$U$82),2,0)</f>
        <v>26</v>
      </c>
      <c r="T88" s="280"/>
      <c r="U88" s="280"/>
      <c r="V88" s="280"/>
    </row>
    <row r="89" customFormat="false" ht="12.75" hidden="true" customHeight="false" outlineLevel="0" collapsed="false">
      <c r="Q89" s="280" t="s">
        <v>2693</v>
      </c>
      <c r="R89" s="280"/>
      <c r="S89" s="488" t="n">
        <f aca="false">VLOOKUP((S87),($S$23:$U$82),3,0)</f>
        <v>2</v>
      </c>
      <c r="T89" s="280"/>
    </row>
    <row r="90" customFormat="false" ht="12.75" hidden="false" customHeight="false" outlineLevel="0" collapsed="false">
      <c r="Q90" s="280" t="s">
        <v>2694</v>
      </c>
      <c r="R90" s="280"/>
      <c r="S90" s="538" t="n">
        <f aca="false">IF(ISERROR(SUM($T$23:$T$82)/SUM($U$23:$U$82)),"",(SUM($T$23:$T$82)-S88)/(SUM($U$23:$U$82)-S89))</f>
        <v>11</v>
      </c>
      <c r="T90" s="280"/>
    </row>
    <row r="91" customFormat="false" ht="12.75" hidden="false" customHeight="false" outlineLevel="0" collapsed="false">
      <c r="Q91" s="487" t="s">
        <v>2695</v>
      </c>
      <c r="R91" s="487"/>
      <c r="S91" s="487" t="str">
        <f aca="false">INDEX('liste reference'!$A$8:$A$904,$T$91)</f>
        <v>PHOSPX</v>
      </c>
      <c r="T91" s="280" t="n">
        <f aca="false">IF(ISERROR(MATCH($S$93,'liste reference'!$A$8:$A$904,0)),MATCH($S$93,'liste reference'!$B$8:$B$904,0),(MATCH($S$93,'liste reference'!$A$8:$A$904,0)))</f>
        <v>57</v>
      </c>
      <c r="U91" s="527"/>
    </row>
    <row r="92" customFormat="false" ht="12.75" hidden="false" customHeight="false" outlineLevel="0" collapsed="false">
      <c r="Q92" s="280" t="s">
        <v>2696</v>
      </c>
      <c r="R92" s="280"/>
      <c r="S92" s="280" t="n">
        <f aca="false">MATCH(S87,$S$23:$S$82,0)</f>
        <v>2</v>
      </c>
      <c r="T92" s="280"/>
    </row>
    <row r="93" customFormat="false" ht="12.75" hidden="false" customHeight="false" outlineLevel="0" collapsed="false">
      <c r="Q93" s="487" t="s">
        <v>2697</v>
      </c>
      <c r="R93" s="280"/>
      <c r="S93" s="487" t="str">
        <f aca="false">INDEX($A$23:$A$82,$S$92)</f>
        <v>PHOSPX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2712</v>
      </c>
      <c r="G17" s="577"/>
      <c r="H17" s="576" t="s">
        <v>2712</v>
      </c>
      <c r="I17" s="578"/>
    </row>
    <row r="18" customFormat="false" ht="15" hidden="false" customHeight="false" outlineLevel="0" collapsed="false">
      <c r="A18" s="565" t="s">
        <v>1212</v>
      </c>
      <c r="B18" s="566" t="s">
        <v>1213</v>
      </c>
      <c r="C18" s="568"/>
      <c r="D18" s="569"/>
      <c r="F18" s="576" t="s">
        <v>2713</v>
      </c>
      <c r="G18" s="577"/>
      <c r="H18" s="576" t="s">
        <v>2713</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2014-04-10T18:09:24Z</dcterms:modified>
  <cp:revision>0</cp:revision>
  <dc:subject/>
  <dc:title>Feuille d'aide au calcul de l'IBMR</dc:title>
</cp:coreProperties>
</file>