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olostre à St Martin de Brôme" sheetId="6" state="visible" r:id="rId8"/>
    <sheet name="modele" sheetId="7" state="hidden" r:id="rId9"/>
    <sheet name="liste codes réf" sheetId="8" state="hidden" r:id="rId10"/>
  </sheets>
  <definedNames>
    <definedName function="false" hidden="false" localSheetId="5" name="_xlnm.Print_Area" vbProcedure="false">'Colostre à St Martin de Brôme'!$A$1:$O$82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'Colostre à St Martin de Brôme'!$A$23:$J$84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<sst xmlns="http://schemas.openxmlformats.org/spreadsheetml/2006/main" count="7346" uniqueCount="2728">
  <si>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</si>
  <si>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</si>
  <si>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</si>
  <si>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</si>
  <si>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</si>
  <si>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</si>
  <si>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</si>
  <si>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</si>
  <si>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</si>
  <si>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</si>
  <si>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</si>
  <si>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</si>
  <si>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</si>
  <si>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</si>
  <si>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</si>
  <si>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</si>
  <si>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</si>
  <si>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</si>
  <si>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</si>
  <si>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</si>
  <si>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</si>
  <si>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</si>
  <si>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</si>
  <si>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</si>
  <si>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</si>
  <si>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</si>
  <si>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</si>
  <si>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</si>
  <si>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</si>
  <si>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</si>
  <si>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</si>
  <si>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</si>
  <si>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</si>
  <si>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</si>
  <si>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</si>
  <si>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</si>
  <si>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</si>
  <si>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</si>
  <si>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</si>
  <si>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</si>
  <si>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</si>
  <si>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</si>
  <si>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</si>
  <si>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</si>
  <si>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</si>
  <si>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</si>
  <si>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</si>
  <si>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</si>
  <si>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</si>
  <si>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</si>
  <si>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</si>
  <si>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</si>
  <si>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</si>
  <si>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</si>
  <si>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</si>
  <si>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</si>
  <si>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</si>
  <si>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</si>
  <si>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</si>
  <si>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</si>
  <si>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</si>
  <si>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</si>
  <si>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</si>
  <si>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</si>
  <si>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</si>
  <si>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</si>
  <si>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</si>
  <si>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</si>
  <si>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</si>
  <si>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</si>
  <si>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</si>
  <si>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</si>
  <si>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</si>
  <si>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</si>
  <si>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</si>
  <si>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</si>
  <si>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</si>
  <si>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</si>
  <si>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</si>
  <si>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</si>
  <si>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</si>
  <si>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</si>
  <si>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</si>
  <si>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</si>
  <si>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</si>
  <si>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</si>
  <si>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</si>
  <si>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</si>
  <si>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</si>
  <si>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</si>
  <si>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</si>
  <si>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</si>
  <si>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</si>
  <si>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</si>
  <si>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</si>
  <si>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</si>
  <si>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</si>
  <si>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</si>
  <si>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</si>
  <si>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</si>
  <si>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</si>
  <si>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</si>
  <si>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</si>
  <si>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</si>
  <si>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</si>
  <si>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</si>
  <si>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</si>
  <si>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</si>
  <si>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</si>
  <si>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</si>
  <si>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</si>
  <si>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</si>
  <si>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</si>
  <si>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</si>
  <si>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</si>
  <si>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</si>
  <si>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</si>
  <si>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</si>
  <si>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</si>
  <si>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</si>
  <si>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</si>
  <si>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</si>
  <si>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</si>
  <si>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</si>
  <si>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</si>
  <si>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</si>
  <si>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</si>
  <si>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</si>
  <si>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</si>
  <si>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</si>
  <si>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</si>
  <si>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</si>
  <si>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</si>
  <si>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</si>
  <si>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</si>
  <si>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</si>
  <si>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</si>
  <si>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</si>
  <si>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</si>
  <si>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</si>
  <si>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</si>
  <si>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</si>
  <si>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</si>
  <si>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</si>
  <si>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</si>
  <si>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</si>
  <si>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</si>
  <si>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</si>
  <si>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</si>
  <si>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</si>
  <si>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</si>
  <si>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</si>
  <si>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</si>
  <si>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</si>
  <si>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</si>
  <si>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</si>
  <si>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</si>
  <si>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</si>
  <si>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</si>
  <si>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</si>
  <si>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</si>
  <si>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</si>
  <si>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</si>
  <si>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</si>
  <si>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</si>
  <si>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</si>
  <si>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</si>
  <si>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</si>
  <si>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</si>
  <si>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</si>
  <si>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</si>
  <si>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</si>
  <si>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</si>
  <si>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</si>
  <si>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</si>
  <si>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</si>
  <si>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</si>
  <si>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</si>
  <si>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</si>
  <si>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</si>
  <si>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</si>
  <si>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</si>
  <si>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</si>
  <si>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</si>
  <si>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</si>
  <si>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</si>
  <si>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</si>
  <si>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</si>
  <si>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</si>
  <si>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</si>
  <si>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</si>
  <si>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</si>
  <si>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</si>
  <si>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</si>
  <si>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</si>
  <si>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</si>
  <si>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</si>
  <si>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</si>
  <si>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</si>
  <si>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</si>
  <si>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</si>
  <si>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</si>
  <si>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</si>
  <si>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</si>
  <si>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</si>
  <si>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</si>
  <si>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</si>
  <si>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</si>
  <si>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</si>
  <si>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</si>
  <si>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</si>
  <si>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</si>
  <si>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</si>
  <si>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</si>
  <si>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</si>
  <si>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</si>
  <si>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</si>
  <si>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</si>
  <si>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</si>
  <si>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</si>
  <si>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</si>
  <si>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</si>
  <si>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</si>
  <si>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</si>
  <si>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</si>
  <si>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</si>
  <si>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</si>
  <si>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</si>
  <si>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</si>
  <si>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</si>
  <si>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</si>
  <si>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</si>
  <si>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</si>
  <si>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</si>
  <si>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</si>
  <si>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</si>
  <si>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</si>
  <si>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</si>
  <si>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</si>
  <si>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</si>
  <si>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</si>
  <si>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</si>
  <si>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</si>
  <si>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</si>
  <si>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</si>
  <si>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</si>
  <si>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</si>
  <si>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</si>
  <si>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</si>
  <si>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</si>
  <si>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</si>
  <si>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</si>
  <si>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</si>
  <si>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</si>
  <si>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</si>
  <si>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</si>
  <si>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</si>
  <si>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</si>
  <si>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</si>
  <si>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</si>
  <si>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</si>
  <si>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</si>
  <si>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</si>
  <si>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</si>
  <si>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</si>
  <si>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</si>
  <si>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</si>
  <si>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</si>
  <si>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</si>
  <si>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</si>
  <si>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</si>
  <si>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</si>
  <si>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</si>
  <si>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</si>
  <si>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</si>
  <si>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</si>
  <si>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</si>
  <si>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</si>
  <si>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</si>
  <si>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</si>
  <si>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</si>
  <si>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</si>
  <si>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</si>
  <si>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</si>
  <si>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</si>
  <si>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</si>
  <si>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</si>
  <si>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</si>
  <si>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</si>
  <si>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</si>
  <si>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</si>
  <si>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</si>
  <si>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</si>
  <si>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</si>
  <si>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</si>
  <si>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</si>
  <si>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</si>
  <si>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</si>
  <si>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</si>
  <si>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</si>
  <si>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</si>
  <si>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</si>
  <si>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</si>
  <si>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</si>
  <si>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</si>
  <si>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</si>
  <si>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</si>
  <si>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</si>
  <si>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</si>
  <si>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</si>
  <si>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</si>
  <si>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</si>
  <si>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</si>
  <si>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</si>
  <si>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</si>
  <si>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</si>
  <si>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</si>
  <si>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</si>
  <si>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</si>
  <si>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</si>
  <si>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</si>
  <si>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</si>
  <si>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</si>
  <si>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</si>
  <si>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</si>
  <si>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</si>
  <si>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</si>
  <si>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</si>
  <si>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</si>
  <si>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</si>
  <si>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</si>
  <si>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</si>
  <si>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</si>
  <si>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</si>
  <si>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</si>
  <si>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</si>
  <si>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</si>
  <si>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</si>
  <si>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</si>
  <si>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</si>
  <si>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</si>
  <si>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</si>
  <si>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</si>
  <si>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</si>
  <si>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</si>
  <si>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</si>
  <si>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</si>
  <si>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</si>
  <si>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</si>
  <si>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</si>
  <si>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</si>
  <si>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</si>
  <si>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</si>
  <si>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</si>
  <si>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</si>
  <si>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</si>
  <si>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</si>
  <si>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</si>
  <si>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</si>
  <si>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</si>
  <si>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</si>
  <si>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</si>
  <si>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</si>
  <si>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</si>
  <si>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</si>
  <si>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</si>
  <si>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</si>
  <si>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</si>
  <si>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</si>
  <si>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</si>
  <si>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</si>
  <si>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</si>
  <si>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</si>
  <si>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</si>
  <si>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</si>
  <si>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</si>
  <si>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</si>
  <si>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</si>
  <si>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</si>
  <si>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</si>
  <si>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</si>
  <si>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</si>
  <si>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</si>
  <si>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</si>
  <si>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</si>
  <si>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</si>
  <si>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</si>
  <si>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</si>
  <si>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</si>
  <si>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</si>
  <si>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</si>
  <si>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</si>
  <si>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</si>
  <si>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</si>
  <si>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</si>
  <si>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</si>
  <si>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</si>
  <si>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</si>
  <si>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</si>
  <si>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</si>
  <si>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</si>
  <si>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</si>
  <si>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</si>
  <si>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</si>
  <si>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</si>
  <si>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</si>
  <si>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</si>
  <si>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</si>
  <si>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</si>
  <si>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</si>
  <si>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</si>
  <si>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</si>
  <si>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</si>
  <si>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</si>
  <si>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</si>
  <si>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</si>
  <si>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</si>
  <si>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</si>
  <si>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</si>
  <si>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</si>
  <si>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</si>
  <si>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</si>
  <si>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</si>
  <si>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</si>
  <si>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</si>
  <si>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</si>
  <si>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</si>
  <si>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</si>
  <si>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</si>
  <si>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</si>
  <si>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</si>
  <si>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</si>
  <si>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</si>
  <si>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</si>
  <si>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</si>
  <si>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</si>
  <si>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</si>
  <si>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</si>
  <si>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</si>
  <si>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</si>
  <si>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</si>
  <si>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</si>
  <si>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</si>
  <si>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</si>
  <si>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</si>
  <si>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</si>
  <si>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</si>
  <si>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</si>
  <si>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</si>
  <si>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</si>
  <si>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</si>
  <si>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</si>
  <si>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</si>
  <si>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</si>
  <si>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</si>
  <si>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</si>
  <si>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</si>
  <si>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</si>
  <si>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</si>
  <si>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</si>
  <si>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</si>
  <si>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</si>
  <si>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</si>
  <si>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</si>
  <si>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</si>
  <si>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</si>
  <si>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</si>
  <si>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</si>
  <si>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</si>
  <si>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</si>
  <si>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</si>
  <si>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</si>
  <si>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</si>
  <si>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</si>
  <si>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</si>
  <si>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</si>
  <si>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</si>
  <si>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</si>
  <si>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</si>
  <si>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</si>
  <si>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</si>
  <si>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</si>
  <si>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</si>
  <si>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</si>
  <si>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</si>
  <si>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</si>
  <si>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</si>
  <si>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</si>
  <si>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</si>
  <si>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</si>
  <si>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</si>
  <si>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</si>
  <si>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</si>
  <si>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</si>
  <si>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</si>
  <si>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</si>
  <si>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</si>
  <si>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</si>
  <si>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</si>
  <si>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</si>
  <si>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</si>
  <si>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</si>
  <si>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</si>
  <si>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</si>
  <si>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</si>
  <si>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</si>
  <si>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</si>
  <si>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</si>
  <si>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</si>
  <si>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</si>
  <si>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</si>
  <si>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</si>
  <si>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</si>
  <si>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</si>
  <si>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</si>
  <si>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</si>
  <si>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</si>
  <si>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</si>
  <si>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</si>
  <si>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</si>
  <si>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</si>
  <si>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</si>
  <si>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</si>
  <si>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</si>
  <si>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</si>
  <si>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</si>
  <si>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</si>
  <si>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</si>
  <si>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</si>
  <si>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</si>
  <si>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</si>
  <si>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</si>
  <si>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</si>
  <si>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</si>
  <si>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</si>
  <si>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</si>
  <si>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</si>
  <si>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</si>
  <si>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</si>
  <si>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</si>
  <si>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</si>
  <si>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</si>
  <si>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</si>
  <si>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</si>
  <si>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</si>
  <si>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</si>
  <si>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</si>
  <si>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</si>
  <si>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</si>
  <si>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</si>
  <si>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</si>
  <si>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</si>
  <si>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</si>
  <si>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</si>
  <si>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</si>
  <si>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</si>
  <si>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</si>
  <si>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</si>
  <si>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</si>
  <si>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</si>
  <si>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</si>
  <si>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</si>
  <si>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</si>
  <si>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</si>
  <si>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</si>
  <si>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</si>
  <si>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</si>
  <si>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</si>
  <si>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</si>
  <si>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</si>
  <si>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</si>
  <si>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</si>
  <si>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</si>
  <si>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</si>
  <si>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</si>
  <si>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</si>
  <si>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</si>
  <si>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</si>
  <si>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</si>
  <si>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</si>
  <si>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</si>
  <si>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</si>
  <si>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</si>
  <si>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</si>
  <si>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</si>
  <si>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</si>
  <si>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</si>
  <si>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</si>
  <si>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</si>
  <si>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</si>
  <si>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</si>
  <si>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</si>
  <si>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</si>
  <si>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</si>
  <si>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</si>
  <si>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</si>
  <si>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</si>
  <si>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</si>
  <si>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</si>
  <si>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</si>
  <si>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</si>
  <si>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</si>
  <si>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</si>
  <si>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</si>
  <si>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</si>
  <si>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</si>
  <si>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</si>
  <si>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</si>
  <si>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</si>
  <si>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</si>
  <si>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</si>
  <si>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</si>
  <si>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</si>
  <si>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</si>
  <si>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</si>
  <si>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</si>
  <si>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</si>
  <si>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</si>
  <si>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</si>
  <si>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</si>
  <si>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</si>
  <si>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</si>
  <si>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</si>
  <si>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</si>
  <si>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</si>
  <si>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</si>
  <si>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</si>
  <si>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</si>
  <si>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</si>
  <si>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</si>
  <si>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</si>
  <si>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</si>
  <si>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</si>
  <si>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</si>
  <si>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</si>
  <si>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</si>
  <si>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</si>
  <si>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</si>
  <si>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</si>
  <si>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</si>
  <si>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</si>
  <si>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</si>
  <si>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</si>
  <si>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</si>
  <si>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</si>
  <si>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</si>
  <si>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</si>
  <si>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</si>
  <si>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</si>
  <si>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</si>
  <si>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</si>
  <si>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</si>
  <si>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</si>
  <si>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</si>
  <si>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</si>
  <si>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</si>
  <si>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</si>
  <si>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</si>
  <si>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</si>
  <si>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</si>
  <si>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</si>
  <si>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</si>
  <si>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</si>
  <si>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</si>
  <si>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</si>
  <si>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</si>
  <si>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</si>
  <si>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</si>
  <si>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</si>
  <si>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</si>
  <si>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</si>
  <si>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</si>
  <si>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</si>
  <si>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</si>
  <si>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</si>
  <si>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</si>
  <si>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</si>
  <si>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</si>
  <si>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</si>
  <si>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</si>
  <si>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</si>
  <si>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</si>
  <si>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</si>
  <si>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</si>
  <si>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</si>
  <si>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</si>
  <si>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</si>
  <si>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</si>
  <si>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</si>
  <si>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</si>
  <si>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</si>
  <si>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</si>
  <si>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</si>
  <si>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</si>
  <si>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</si>
  <si>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</si>
  <si>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</si>
  <si>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</si>
  <si>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</si>
  <si>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</si>
  <si>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</si>
  <si>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</si>
  <si>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</si>
  <si>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</si>
  <si>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</si>
  <si>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</si>
  <si>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</si>
  <si>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</si>
  <si>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</si>
  <si>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</si>
  <si>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</si>
  <si>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</si>
  <si>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</si>
  <si>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</si>
  <si>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</si>
  <si>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</si>
  <si>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</si>
  <si>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</si>
  <si>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</si>
  <si>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</si>
  <si>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</si>
  <si>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</si>
  <si>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</si>
  <si>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</si>
  <si>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</si>
  <si>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</si>
  <si>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</si>
  <si>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</si>
  <si>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</si>
  <si>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</si>
  <si>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</si>
  <si>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</si>
  <si>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</si>
  <si>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</si>
  <si>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</si>
  <si>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</si>
  <si>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</si>
  <si>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</si>
  <si>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</si>
  <si>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</si>
  <si>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</si>
  <si>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</si>
  <si>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</si>
  <si>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</si>
  <si>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</si>
  <si>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</si>
  <si>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</si>
  <si>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</si>
  <si>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</si>
  <si>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</si>
  <si>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</si>
  <si>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</si>
  <si>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</si>
  <si>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</si>
  <si>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</si>
  <si>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</si>
  <si>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</si>
  <si>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</si>
  <si>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</si>
  <si>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</si>
  <si>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</si>
  <si>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</si>
  <si>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</si>
  <si>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</si>
  <si>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</si>
  <si>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</si>
  <si>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</si>
  <si>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</si>
  <si>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</si>
  <si>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</si>
  <si>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</si>
  <si>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</si>
  <si>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</si>
  <si>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</si>
  <si>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</si>
  <si>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</si>
  <si>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</si>
  <si>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</si>
  <si>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</si>
  <si>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</si>
  <si>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</si>
  <si>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</si>
  <si>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</si>
  <si>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</si>
  <si>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</si>
  <si>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</si>
  <si>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</si>
  <si>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</si>
  <si>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</si>
  <si>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</si>
  <si>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</si>
  <si>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</si>
  <si>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</si>
  <si>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</si>
  <si>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</si>
  <si>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</si>
  <si>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</si>
  <si>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</si>
  <si>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</si>
  <si>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</si>
  <si>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</si>
  <si>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</si>
  <si>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</si>
  <si>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</si>
  <si>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</si>
  <si>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</si>
  <si>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</si>
  <si>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</si>
  <si>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</si>
  <si>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</si>
  <si>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</si>
  <si>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</si>
  <si>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</si>
  <si>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</si>
  <si>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</si>
  <si>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</si>
  <si>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</si>
  <si>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</si>
  <si>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</si>
  <si>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</si>
  <si>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</si>
  <si>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</si>
  <si>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</si>
  <si>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</si>
  <si>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</si>
  <si>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</si>
  <si>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</si>
  <si>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</si>
  <si>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</si>
  <si>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</si>
  <si>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</si>
  <si>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</si>
  <si>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</si>
  <si>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</si>
  <si>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</si>
  <si>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</si>
  <si>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</si>
  <si>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</si>
  <si>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</si>
  <si>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</si>
  <si>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</si>
  <si>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</si>
  <si>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</si>
  <si>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</si>
  <si>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</si>
  <si>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</si>
  <si>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</si>
  <si>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</si>
  <si>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</si>
  <si>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</si>
  <si>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</si>
  <si>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</si>
  <si>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</si>
  <si>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</si>
  <si>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</si>
  <si>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</si>
  <si>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</si>
  <si>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</si>
  <si>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</si>
  <si>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</si>
  <si>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</si>
  <si>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</si>
  <si>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</si>
  <si>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</si>
  <si>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</si>
  <si>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</si>
  <si>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</si>
  <si>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</si>
  <si>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</si>
  <si>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</si>
  <si>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</si>
  <si>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</si>
  <si>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</si>
  <si>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</si>
  <si>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</si>
  <si>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</si>
  <si>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</si>
  <si>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</si>
  <si>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</si>
  <si>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</si>
  <si>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</si>
  <si>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</si>
  <si>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</si>
  <si>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</si>
  <si>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</si>
  <si>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</si>
  <si>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</si>
  <si>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</si>
  <si>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</si>
  <si>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</si>
  <si>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</si>
  <si>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</si>
  <si>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</si>
  <si>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</si>
  <si>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</si>
  <si>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</si>
  <si>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</si>
  <si>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</si>
  <si>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</si>
  <si>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</si>
  <si>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</si>
  <si>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</si>
  <si>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</si>
  <si>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</si>
  <si>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</si>
  <si>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</si>
  <si>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</si>
  <si>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</si>
  <si>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</si>
  <si>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</si>
  <si>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</si>
  <si>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</si>
  <si>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</si>
  <si>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</si>
  <si>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</si>
  <si>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</si>
  <si>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</si>
  <si>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</si>
  <si>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</si>
  <si>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</si>
  <si>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</si>
  <si>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</si>
  <si>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</si>
  <si>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</si>
  <si>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</si>
  <si>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</si>
  <si>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</si>
  <si>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</si>
  <si>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</si>
  <si>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</si>
  <si>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</si>
  <si>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</si>
  <si>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</si>
  <si>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</si>
  <si>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</si>
  <si>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</si>
  <si>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</si>
  <si>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</si>
  <si>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</si>
  <si>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</si>
  <si>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</si>
  <si>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</si>
  <si>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</si>
  <si>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</si>
  <si>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</si>
  <si>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</si>
  <si>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</si>
  <si>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</si>
  <si>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</si>
  <si>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</si>
  <si>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</si>
  <si>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</si>
  <si>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</si>
  <si>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</si>
  <si>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</si>
  <si>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</si>
  <si>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</si>
  <si>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</si>
  <si>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</si>
  <si>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</si>
  <si>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</si>
  <si>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</si>
  <si>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</si>
  <si>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</si>
  <si>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</si>
  <si>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</si>
  <si>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</si>
  <si>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</si>
  <si>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</si>
  <si>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</si>
  <si>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</si>
  <si>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</si>
  <si>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</si>
  <si>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</si>
  <si>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</si>
  <si>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</si>
  <si>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</si>
  <si>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</si>
  <si>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</si>
  <si>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</si>
  <si>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</si>
  <si>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</si>
  <si>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</si>
  <si>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</si>
  <si>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</si>
  <si>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</si>
  <si>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</si>
  <si>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</si>
  <si>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</si>
  <si>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</si>
  <si>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</si>
  <si>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</si>
  <si>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</si>
  <si>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</si>
  <si>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</si>
  <si>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</si>
  <si>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</si>
  <si>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</si>
  <si>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</si>
  <si>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</si>
  <si>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</si>
  <si>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</si>
  <si>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</si>
  <si>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</si>
  <si>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</si>
  <si>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</si>
  <si>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</si>
  <si>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</si>
  <si>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</si>
  <si>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</si>
  <si>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</si>
  <si>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</si>
  <si>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</si>
  <si>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</si>
  <si>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</si>
  <si>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</si>
  <si>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</si>
  <si>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</si>
  <si>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</si>
  <si>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</si>
  <si>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</si>
  <si>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</si>
  <si>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</si>
  <si>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</si>
  <si>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</si>
  <si>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</si>
  <si>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</si>
  <si>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</si>
  <si>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</si>
  <si>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</si>
  <si>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</si>
  <si>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</si>
  <si>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</si>
  <si>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</si>
  <si>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</si>
  <si>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</si>
  <si>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</si>
  <si>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</si>
  <si>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</si>
  <si>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</si>
  <si>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</si>
  <si>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</si>
  <si>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</si>
  <si>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</si>
  <si>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</si>
  <si>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</si>
  <si>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</si>
  <si>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</si>
  <si>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</si>
  <si>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</si>
  <si>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</si>
  <si>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</si>
  <si>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</si>
  <si>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</si>
  <si>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</si>
  <si>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</si>
  <si>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</si>
  <si>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</si>
  <si>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</si>
  <si>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</si>
  <si>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</si>
  <si>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</si>
  <si>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</si>
  <si>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</si>
  <si>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</si>
  <si>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</si>
  <si>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</si>
  <si>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</si>
  <si>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</si>
  <si>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</si>
  <si>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</si>
  <si>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</si>
  <si>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</si>
  <si>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</si>
  <si>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</si>
  <si>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</si>
  <si>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</si>
  <si>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</si>
  <si>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</si>
  <si>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</si>
  <si>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</si>
  <si>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</si>
  <si>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</si>
  <si>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</si>
  <si>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</si>
  <si>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</si>
  <si>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</si>
  <si>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</si>
  <si>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</si>
  <si>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</si>
  <si>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</si>
  <si>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</si>
  <si>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</si>
  <si>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</si>
  <si>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</si>
  <si>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</si>
  <si>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</si>
  <si>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</si>
  <si>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</si>
  <si>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</si>
  <si>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</si>
  <si>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</si>
  <si>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</si>
  <si>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</si>
  <si>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</si>
  <si>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</si>
  <si>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</si>
  <si>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</si>
  <si>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</si>
  <si>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</si>
  <si>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</si>
  <si>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</si>
  <si>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</si>
  <si>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</si>
  <si>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</si>
  <si>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</si>
  <si>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</si>
  <si>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</si>
  <si>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</si>
  <si>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</si>
  <si>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</si>
  <si>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</si>
  <si>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</si>
  <si>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</si>
  <si>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</si>
  <si>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</si>
  <si>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</si>
  <si>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</si>
  <si>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</si>
  <si>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</si>
  <si>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</si>
  <si>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</si>
  <si>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</si>
  <si>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</si>
  <si>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</si>
  <si>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</si>
  <si>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</si>
  <si>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</si>
  <si>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</si>
  <si>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</si>
  <si>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</si>
  <si>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</si>
  <si>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</si>
  <si>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</si>
  <si>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</si>
  <si>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</si>
  <si>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</si>
  <si>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</si>
  <si>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</si>
  <si>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</si>
  <si>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</si>
  <si>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</si>
  <si>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</si>
  <si>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</si>
  <si>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</si>
  <si>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</si>
  <si>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</si>
  <si>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</si>
  <si>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</si>
  <si>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</si>
  <si>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</si>
  <si>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</si>
  <si>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</si>
  <si>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</si>
  <si>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</si>
  <si>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</si>
  <si>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</si>
  <si>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</si>
  <si>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</si>
  <si>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</si>
  <si>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</si>
  <si>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</si>
  <si>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</si>
  <si>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</si>
  <si>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</si>
  <si>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</si>
  <si>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</si>
  <si>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</si>
  <si>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</si>
  <si>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</si>
  <si>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</si>
  <si>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</si>
  <si>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</si>
  <si>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</si>
  <si>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</si>
  <si>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</si>
  <si>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</si>
  <si>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</si>
  <si>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</si>
  <si>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</si>
  <si>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</si>
  <si>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</si>
  <si>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</si>
  <si>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</si>
  <si>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</si>
  <si>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</si>
  <si>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</si>
  <si>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</si>
  <si>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</si>
  <si>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</si>
  <si>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</si>
  <si>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</si>
  <si>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</si>
  <si>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</si>
  <si>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</si>
  <si>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</si>
  <si>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</si>
  <si>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</si>
  <si>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</si>
  <si>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</si>
  <si>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</si>
  <si>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</si>
  <si>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</si>
  <si>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</si>
  <si>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</si>
  <si>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</si>
  <si>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</si>
  <si>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</si>
  <si>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</si>
  <si>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</si>
  <si>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</si>
  <si>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</si>
  <si>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</si>
  <si>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</si>
  <si>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</si>
  <si>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</si>
  <si>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</si>
  <si>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</si>
  <si>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</si>
  <si>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</si>
  <si>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</si>
  <si>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</si>
  <si>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</si>
  <si>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</si>
  <si>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</si>
  <si>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</si>
  <si>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</si>
  <si>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</si>
  <si>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</si>
  <si>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</si>
  <si>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</si>
  <si>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</si>
  <si>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</si>
  <si>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</si>
  <si>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</si>
  <si>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</si>
  <si>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</si>
  <si>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</si>
  <si>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</si>
  <si>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</si>
  <si>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</si>
  <si>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</si>
  <si>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</si>
  <si>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</si>
  <si>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</si>
  <si>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</si>
  <si>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</si>
  <si>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</si>
  <si>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</si>
  <si>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</si>
  <si>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</si>
  <si>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</si>
  <si>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</si>
  <si>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</si>
  <si>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</si>
  <si>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</si>
  <si>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</si>
  <si>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</si>
  <si>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</si>
  <si>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</si>
  <si>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</si>
  <si>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</si>
  <si>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</si>
  <si>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</si>
  <si>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</si>
  <si>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</si>
  <si>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</si>
  <si>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</si>
  <si>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</si>
  <si>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</si>
  <si>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</si>
  <si>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</si>
  <si>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</si>
  <si>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</si>
  <si>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</si>
  <si>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</si>
  <si>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</si>
  <si>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</si>
  <si>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</si>
  <si>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</si>
  <si>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</si>
  <si>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</si>
  <si>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</si>
  <si>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</si>
  <si>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</si>
  <si>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</si>
  <si>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</si>
  <si>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</si>
  <si>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</si>
  <si>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</si>
  <si>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</si>
  <si>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</si>
  <si>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</si>
  <si>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</si>
  <si>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</si>
  <si>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</si>
  <si>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</si>
  <si>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</si>
  <si>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</si>
  <si>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</si>
  <si>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</si>
  <si>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</si>
  <si>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</si>
  <si>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</si>
  <si>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</si>
  <si>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</si>
  <si>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</si>
  <si>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</si>
  <si>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</si>
  <si>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</si>
  <si>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</si>
  <si>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</si>
  <si>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</si>
  <si>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</si>
  <si>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</si>
  <si>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</si>
  <si>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</si>
  <si>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</si>
  <si>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</si>
  <si>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</si>
  <si>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</si>
  <si>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</si>
  <si>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</si>
  <si>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</si>
  <si>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</si>
  <si>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</si>
  <si>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</si>
  <si>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</si>
  <si>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</si>
  <si>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</si>
  <si>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</si>
  <si>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</si>
  <si>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</si>
  <si>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</si>
  <si>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</si>
  <si>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</si>
  <si>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</si>
  <si>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</si>
  <si>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</si>
  <si>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</si>
  <si>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</si>
  <si>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</si>
  <si>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</si>
  <si>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</si>
  <si>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</si>
  <si>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</si>
  <si>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</si>
  <si>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</si>
  <si>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</si>
  <si>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</si>
  <si>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</si>
  <si>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</si>
  <si>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</si>
  <si>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</si>
  <si>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</si>
  <si>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</si>
  <si>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</si>
  <si>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</si>
  <si>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</si>
  <si>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</si>
  <si>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</si>
  <si>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</si>
  <si>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</si>
  <si>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</si>
  <si>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</si>
  <si>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</si>
  <si>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</si>
  <si>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</si>
  <si>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</si>
  <si>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</si>
  <si>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</si>
  <si>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</si>
  <si>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</si>
  <si>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</si>
  <si>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</si>
  <si>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</si>
  <si>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</si>
  <si>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</si>
  <si>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</si>
  <si>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</si>
  <si>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</si>
  <si>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</si>
  <si>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</si>
  <si>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</si>
  <si>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</si>
  <si>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</si>
  <si>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</si>
  <si>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</si>
  <si>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</si>
  <si>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</si>
  <si>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</si>
  <si>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</si>
  <si>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</si>
  <si>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</si>
  <si>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</si>
  <si>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</si>
  <si>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</si>
  <si>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</si>
  <si>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</si>
  <si>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</si>
  <si>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</si>
  <si>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</si>
  <si>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</si>
  <si>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</si>
  <si>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</si>
  <si>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</si>
  <si>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</si>
  <si>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</si>
  <si>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</si>
  <si>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</si>
  <si>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</si>
  <si>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</si>
  <si>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</si>
  <si>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</si>
  <si>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</si>
  <si>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</si>
  <si>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</si>
  <si>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</si>
  <si>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</si>
  <si>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</si>
  <si>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</si>
  <si>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</si>
  <si>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</si>
  <si>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</si>
  <si>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</si>
  <si>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</si>
  <si>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</si>
  <si>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</si>
  <si>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</si>
  <si>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</si>
  <si>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</si>
  <si>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</si>
  <si>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</si>
  <si>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</si>
  <si>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</si>
  <si>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</si>
  <si>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</si>
  <si>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</si>
  <si>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</si>
  <si>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</si>
  <si>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</si>
  <si>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</si>
  <si>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</si>
  <si>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</si>
  <si>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</si>
  <si>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</si>
  <si>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</si>
  <si>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</si>
  <si>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</si>
  <si>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</si>
  <si>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</si>
  <si>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</si>
  <si>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</si>
  <si>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</si>
  <si>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</si>
  <si>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</si>
  <si>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</si>
  <si>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</si>
  <si>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</si>
  <si>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</si>
  <si>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</si>
  <si>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</si>
  <si>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</si>
  <si>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</si>
  <si>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</si>
  <si>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</si>
  <si>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</si>
  <si>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</si>
  <si>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</si>
  <si>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</si>
  <si>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</si>
  <si>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</si>
  <si>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</si>
  <si>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</si>
  <si>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</si>
  <si>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</si>
  <si>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</si>
  <si>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</si>
  <si>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</si>
  <si>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</si>
  <si>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</si>
  <si>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</si>
  <si>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</si>
  <si>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</si>
  <si>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</si>
  <si>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</si>
  <si>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</si>
  <si>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</si>
  <si>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</si>
  <si>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</si>
  <si>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</si>
  <si>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</si>
  <si>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</si>
  <si>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</si>
  <si>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</si>
  <si>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</si>
  <si>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</si>
  <si>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</si>
  <si>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</si>
  <si>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</si>
  <si>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</si>
  <si>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</si>
  <si>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</si>
  <si>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</si>
  <si>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</si>
  <si>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</si>
  <si>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</si>
  <si>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</si>
  <si>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</si>
  <si>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</si>
  <si>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</si>
  <si>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</si>
  <si>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</si>
  <si>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</si>
  <si>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</si>
  <si>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</si>
  <si>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</si>
  <si>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</si>
  <si>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</si>
  <si>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</si>
  <si>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</si>
  <si>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</si>
  <si>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</si>
  <si>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</si>
  <si>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</si>
  <si>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</si>
  <si>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</si>
  <si>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</si>
  <si>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</si>
  <si>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</si>
  <si>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</si>
  <si>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</si>
  <si>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</si>
  <si>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</si>
  <si>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</si>
  <si>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</si>
  <si>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</si>
  <si>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</si>
  <si>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</si>
  <si>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</si>
  <si>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</si>
  <si>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</si>
  <si>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</si>
  <si>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</si>
  <si>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</si>
  <si>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</si>
  <si>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</si>
  <si>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</si>
  <si>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</si>
  <si>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</si>
  <si>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</si>
  <si>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</si>
  <si>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</si>
  <si>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</si>
  <si>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</si>
  <si>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</si>
  <si>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</si>
  <si>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</si>
  <si>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</si>
  <si>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</si>
  <si>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</si>
  <si>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</si>
  <si>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</si>
  <si>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</si>
  <si>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</si>
  <si>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</si>
  <si>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</si>
  <si>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</si>
  <si>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</si>
  <si>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</si>
  <si>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</si>
  <si>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</si>
  <si>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</si>
  <si>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</si>
  <si>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</si>
  <si>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</si>
  <si>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</si>
  <si>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</si>
  <si>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</si>
  <si>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</si>
  <si>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</si>
  <si>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</si>
  <si>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</si>
  <si>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</si>
  <si>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</si>
  <si>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</si>
  <si>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</si>
  <si>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</si>
  <si>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</si>
  <si>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</si>
  <si>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</si>
  <si>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</si>
  <si>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</si>
  <si>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</si>
  <si>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</si>
  <si>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</si>
  <si>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</si>
  <si>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</si>
  <si>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</si>
  <si>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</si>
  <si>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</si>
  <si>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</si>
  <si>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</si>
  <si>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</si>
  <si>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</si>
  <si>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</si>
  <si>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</si>
  <si>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</si>
  <si>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</si>
  <si>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</si>
  <si>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</si>
  <si>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</si>
  <si>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</si>
  <si>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</si>
  <si>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</si>
  <si>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</si>
  <si>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</si>
  <si>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</si>
  <si>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</si>
  <si>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</si>
  <si>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</si>
  <si>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</si>
  <si>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</si>
  <si>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</si>
  <si>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</si>
  <si>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</si>
  <si>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</si>
  <si>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</si>
  <si>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</si>
  <si>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</si>
  <si>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</si>
  <si>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</si>
  <si>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</si>
  <si>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</si>
  <si>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</si>
  <si>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</si>
  <si>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</si>
  <si>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</si>
  <si>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</si>
  <si>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</si>
  <si>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</si>
  <si>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</si>
  <si>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</si>
  <si>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</si>
  <si>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</si>
  <si>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</si>
  <si>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</si>
  <si>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</si>
  <si>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</si>
  <si>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</si>
  <si>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</si>
  <si>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</si>
  <si>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</si>
  <si>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</si>
  <si>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</si>
  <si>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</si>
  <si>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</si>
  <si>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</si>
  <si>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</si>
  <si>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</si>
  <si>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</si>
  <si>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</si>
  <si>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</si>
  <si>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</si>
  <si>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</si>
  <si>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</si>
  <si>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</si>
  <si>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</si>
  <si>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</si>
  <si>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</si>
  <si>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</si>
  <si>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</si>
  <si>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</si>
  <si>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</si>
  <si>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</si>
  <si>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</si>
  <si>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</si>
  <si>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</si>
  <si>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</si>
  <si>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</si>
  <si>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</si>
  <si>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</si>
  <si>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</si>
  <si>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</si>
  <si>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</si>
  <si>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</si>
  <si>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</si>
  <si>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</si>
  <si>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</si>
  <si>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</si>
  <si>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</si>
  <si>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</si>
  <si>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</si>
  <si>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</si>
  <si>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</si>
  <si>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</si>
  <si>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</si>
  <si>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</si>
  <si>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</si>
  <si>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</si>
  <si>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</si>
  <si>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</si>
  <si>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</si>
  <si>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</si>
  <si>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</si>
  <si>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</si>
  <si>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</si>
  <si>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</si>
  <si>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</si>
  <si>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</si>
  <si>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</si>
  <si>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</si>
  <si>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</si>
  <si>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</si>
  <si>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</si>
  <si>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</si>
  <si>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</si>
  <si>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</si>
  <si>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</si>
  <si>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</si>
  <si>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</si>
  <si>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</si>
  <si>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</si>
  <si>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</si>
  <si>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</si>
  <si>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</si>
  <si>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</si>
  <si>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</si>
  <si>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</si>
  <si>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</si>
  <si>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</si>
  <si>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</si>
  <si>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</si>
  <si>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</si>
  <si>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</si>
  <si>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</si>
  <si>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</si>
  <si>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</si>
  <si>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</si>
  <si>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</si>
  <si>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</si>
  <si>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</si>
  <si>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</si>
  <si>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</si>
  <si>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</si>
  <si>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</si>
  <si>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</si>
  <si>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</si>
  <si>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</si>
  <si>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</si>
  <si>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</si>
  <si>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</si>
  <si>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</si>
  <si>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</si>
  <si>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</si>
  <si>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</si>
  <si>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</si>
  <si>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</si>
  <si>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</si>
  <si>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</si>
  <si>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</si>
  <si>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</si>
  <si>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</si>
  <si>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</si>
  <si>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</si>
  <si>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</si>
  <si>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</si>
  <si>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</si>
  <si>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</si>
  <si>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</si>
  <si>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</si>
  <si>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</si>
  <si>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</si>
  <si>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</si>
  <si>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</si>
  <si>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</si>
  <si>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</si>
  <si>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</si>
  <si>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</si>
  <si>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</si>
  <si>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</si>
  <si>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</si>
  <si>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</si>
  <si>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</si>
  <si>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</si>
  <si>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</si>
  <si>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</si>
  <si>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</si>
  <si>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</si>
  <si>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</si>
  <si>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</si>
  <si>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</si>
  <si>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</si>
  <si>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</si>
  <si>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</si>
  <si>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</si>
  <si>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</si>
  <si>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</si>
  <si>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</si>
  <si>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</si>
  <si>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</si>
  <si>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</si>
  <si>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</si>
  <si>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</si>
  <si>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</si>
  <si>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</si>
  <si>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</si>
  <si>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</si>
  <si>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</si>
  <si>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</si>
  <si>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</si>
  <si>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</si>
  <si>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</si>
  <si>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</si>
  <si>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</si>
  <si>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</si>
  <si>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</si>
  <si>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</si>
  <si>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</si>
  <si>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</si>
  <si>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</si>
  <si>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</si>
  <si>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</si>
  <si>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</si>
  <si>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</si>
  <si>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</si>
  <si>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</si>
  <si>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</si>
  <si>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</si>
  <si>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</si>
  <si>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</si>
  <si>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</si>
  <si>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</si>
  <si>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</si>
  <si>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</si>
  <si>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</si>
  <si>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</si>
  <si>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</si>
  <si>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</si>
  <si>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</si>
  <si>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</si>
  <si>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</si>
  <si>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</si>
  <si>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</si>
  <si>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</si>
  <si>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</si>
  <si>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</si>
  <si>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</si>
  <si>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</si>
  <si>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</si>
  <si>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</si>
  <si>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</si>
  <si>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</si>
  <si>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</si>
  <si>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</si>
  <si>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</si>
  <si>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</si>
  <si>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</si>
  <si>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</si>
  <si>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</si>
  <si>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</si>
  <si>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</si>
  <si>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</si>
  <si>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</si>
  <si>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</si>
  <si>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</si>
  <si>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</si>
  <si>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</si>
  <si>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</si>
  <si>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</si>
  <si>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</si>
  <si>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</si>
  <si>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</si>
  <si>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</si>
  <si>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</si>
  <si>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</si>
  <si>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</si>
  <si>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</si>
  <si>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</si>
  <si>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</si>
  <si>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</si>
  <si>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</si>
  <si>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</si>
  <si>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</si>
  <si>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</si>
  <si>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</si>
  <si>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</si>
  <si>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</si>
  <si>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</si>
  <si>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</si>
  <si>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</si>
  <si>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</si>
  <si>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</si>
  <si>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</si>
  <si>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</si>
  <si>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</si>
  <si>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</si>
  <si>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</si>
  <si>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</si>
  <si>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</si>
  <si>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</si>
  <si>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</si>
  <si>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</si>
  <si>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</si>
  <si>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</si>
  <si>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</si>
  <si>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</si>
  <si>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</si>
  <si>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</si>
  <si>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</si>
  <si>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</si>
  <si>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</si>
  <si>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</si>
  <si>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</si>
  <si>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</si>
  <si>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</si>
  <si>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</si>
  <si>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</si>
  <si>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</si>
  <si>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</si>
  <si>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</si>
  <si>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</si>
  <si>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</si>
  <si>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</si>
  <si>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</si>
  <si>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</si>
  <si>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</si>
  <si>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</si>
  <si>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</si>
  <si>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</si>
  <si>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</si>
  <si>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</si>
  <si>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</si>
  <si>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</si>
  <si>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</si>
  <si>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</si>
  <si>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</si>
  <si>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</si>
  <si>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</si>
  <si>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</si>
  <si>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</si>
  <si>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</si>
  <si>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</si>
  <si>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</si>
  <si>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</si>
  <si>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</si>
  <si>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</si>
  <si>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</si>
  <si>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</si>
  <si>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</si>
  <si>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</si>
  <si>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</si>
  <si>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</si>
  <si>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</si>
  <si>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</si>
  <si>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</si>
  <si>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</si>
  <si>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</si>
  <si>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</si>
  <si>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</si>
  <si>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</si>
  <si>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</si>
  <si>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</si>
  <si>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</si>
  <si>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</si>
  <si>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</si>
  <si>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</si>
  <si>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</si>
  <si>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</si>
  <si>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</si>
  <si>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</si>
  <si>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</si>
  <si>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</si>
  <si>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</si>
  <si>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</si>
  <si>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</si>
  <si>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</si>
  <si>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</si>
  <si>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</si>
  <si>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</si>
  <si>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</si>
  <si>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</si>
  <si>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</si>
  <si>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</si>
  <si>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</si>
  <si>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</si>
  <si>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</si>
  <si>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</si>
  <si>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</si>
  <si>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</si>
  <si>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</si>
  <si>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</si>
  <si>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</si>
  <si>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</si>
  <si>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</si>
  <si>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</si>
  <si>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</si>
  <si>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</si>
  <si>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</si>
  <si>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</si>
  <si>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</si>
  <si>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</si>
  <si>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</si>
  <si>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</si>
  <si>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</si>
  <si>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</si>
  <si>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</si>
  <si>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</si>
  <si>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</si>
  <si>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</si>
  <si>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</si>
  <si>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</si>
  <si>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</si>
  <si>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</si>
  <si>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</si>
  <si>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</si>
  <si>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</si>
  <si>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</si>
  <si>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</si>
  <si>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</si>
  <si>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</si>
  <si>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</si>
  <si>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</si>
  <si>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</si>
  <si>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</si>
  <si>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</si>
  <si>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</si>
  <si>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</si>
  <si>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</si>
  <si>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</si>
  <si>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</si>
  <si>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</si>
  <si>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</si>
  <si>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</si>
  <si>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</si>
  <si>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</si>
  <si>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</si>
  <si>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</si>
  <si>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</si>
  <si>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</si>
  <si>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</si>
  <si>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</si>
  <si>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</si>
  <si>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</si>
  <si>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</si>
  <si>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</si>
  <si>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</si>
  <si>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</si>
  <si>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</si>
  <si>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</si>
  <si>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</si>
  <si>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</si>
  <si>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</si>
  <si>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</si>
  <si>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</si>
  <si>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</si>
  <si>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</si>
  <si>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</si>
  <si>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</si>
  <si>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</si>
  <si>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</si>
  <si>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</si>
  <si>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</si>
  <si>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</si>
  <si>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</si>
  <si>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</si>
  <si>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</si>
  <si>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</si>
  <si>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</si>
  <si>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</si>
  <si>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</si>
  <si>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</si>
  <si>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</si>
  <si>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</si>
  <si>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</si>
  <si>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</si>
  <si>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</si>
  <si>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</si>
  <si>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</si>
  <si>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</si>
  <si>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</si>
  <si>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</si>
  <si>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</si>
  <si>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</si>
  <si>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</si>
  <si>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</si>
  <si>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</si>
  <si>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</si>
  <si>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</si>
  <si>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</si>
  <si>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</si>
  <si>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</si>
  <si>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</si>
  <si>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</si>
  <si>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</si>
  <si>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</si>
  <si>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</si>
  <si>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</si>
  <si>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</si>
  <si>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</si>
  <si>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</si>
  <si>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</si>
  <si>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</si>
  <si>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</si>
  <si>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</si>
  <si>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</si>
  <si>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</si>
  <si>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</si>
  <si>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</si>
  <si>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</si>
  <si>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</si>
  <si>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</si>
  <si>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</si>
  <si>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</si>
  <si>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</si>
  <si>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</si>
  <si>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</si>
  <si>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</si>
  <si>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</si>
  <si>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</si>
  <si>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</si>
  <si>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</si>
  <si>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</si>
  <si>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</si>
  <si>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</si>
  <si>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</si>
  <si>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</si>
  <si>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</si>
  <si>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</si>
  <si>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</si>
  <si>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</si>
  <si>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</si>
  <si>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</si>
  <si>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</si>
  <si>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</si>
  <si>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</si>
  <si>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</si>
  <si>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</si>
  <si>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</si>
  <si>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</si>
  <si>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</si>
  <si>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</si>
  <si>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</si>
  <si>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</si>
  <si>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</si>
  <si>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</si>
  <si>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</si>
  <si>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</si>
  <si>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</si>
  <si>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</si>
  <si>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</si>
  <si>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</si>
  <si>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</si>
  <si>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</si>
  <si>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</si>
  <si>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</si>
  <si>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</si>
  <si>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</si>
  <si>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</si>
  <si>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</si>
  <si>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</si>
  <si>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</si>
  <si>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</si>
  <si>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</si>
  <si>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</si>
  <si>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</si>
  <si>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</si>
  <si>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</si>
  <si>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</si>
  <si>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</si>
  <si>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</si>
  <si>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</si>
  <si>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</si>
  <si>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</si>
  <si>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</si>
  <si>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</si>
  <si>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</si>
  <si>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</si>
  <si>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</si>
  <si>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</si>
  <si>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</si>
  <si>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</si>
  <si>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</si>
  <si>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</si>
  <si>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</si>
  <si>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</si>
  <si>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</si>
  <si>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</si>
  <si>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</si>
  <si>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</si>
  <si>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</si>
  <si>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</si>
  <si>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</si>
  <si>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</si>
  <si>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</si>
  <si>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</si>
  <si>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</si>
  <si>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</si>
  <si>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</si>
  <si>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</si>
  <si>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</si>
  <si>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</si>
  <si>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</si>
  <si>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</si>
  <si>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</si>
  <si>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</si>
  <si>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</si>
  <si>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</si>
  <si>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</si>
  <si>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</si>
  <si>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</si>
  <si>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</si>
  <si>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</si>
  <si>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</si>
  <si>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</si>
  <si>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</si>
  <si>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</si>
  <si>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</si>
  <si>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</si>
  <si>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</si>
  <si>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</si>
  <si>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</si>
  <si>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</si>
  <si>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</si>
  <si>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</si>
  <si>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</si>
  <si>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</si>
  <si>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</si>
  <si>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</si>
  <si>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</si>
  <si>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</si>
  <si>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</si>
  <si>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</si>
  <si>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</si>
  <si>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</si>
  <si>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</si>
  <si>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</si>
  <si>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</si>
  <si>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</si>
  <si>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</si>
  <si>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</si>
  <si>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</si>
  <si>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</si>
  <si>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</si>
  <si>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</si>
  <si>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</si>
  <si>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</si>
  <si>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</si>
  <si>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</si>
  <si>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</si>
  <si>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</si>
  <si>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</si>
  <si>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</si>
  <si>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</si>
  <si>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</si>
  <si>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</si>
  <si>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</si>
  <si>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</si>
  <si>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</si>
  <si>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</si>
  <si>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</si>
  <si>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</si>
  <si>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</si>
  <si>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</si>
  <si>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</si>
  <si>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</si>
  <si>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</si>
  <si>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</si>
  <si>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</si>
  <si>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</si>
  <si>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</si>
  <si>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</si>
  <si>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</si>
  <si>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</si>
  <si>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</si>
  <si>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</si>
  <si>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</si>
  <si>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</si>
  <si>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</si>
  <si>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</si>
  <si>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</si>
  <si>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</si>
  <si>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</si>
  <si>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</si>
  <si>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</si>
  <si>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</si>
  <si>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</si>
  <si>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</si>
  <si>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</si>
  <si>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</si>
  <si>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</si>
  <si>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</si>
  <si>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</si>
  <si>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</si>
  <si>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</si>
  <si>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</si>
  <si>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</si>
  <si>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</si>
  <si>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</si>
  <si>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</si>
  <si>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</si>
  <si>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</si>
  <si>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</si>
  <si>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</si>
  <si>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</si>
  <si>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</si>
  <si>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</si>
  <si>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</si>
  <si>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</si>
  <si>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</si>
  <si>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</si>
  <si>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</si>
  <si>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</si>
  <si>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</si>
  <si>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</si>
  <si>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</si>
  <si>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</si>
  <si>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</si>
  <si>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</si>
  <si>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</si>
  <si>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</si>
  <si>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</si>
  <si>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</si>
  <si>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</si>
  <si>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</si>
  <si>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</si>
  <si>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</si>
  <si>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</si>
  <si>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</si>
  <si>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</si>
  <si>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</si>
  <si>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</si>
  <si>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</si>
  <si>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</si>
  <si>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</si>
  <si>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</si>
  <si>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</si>
  <si>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</si>
  <si>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</si>
  <si>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</si>
  <si>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</si>
  <si>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</si>
  <si>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</si>
  <si>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</si>
  <si>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</si>
  <si>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</si>
  <si>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</si>
  <si>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</si>
  <si>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</si>
  <si>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</si>
  <si>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</si>
  <si>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</si>
  <si>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</si>
  <si>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</si>
  <si>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</si>
  <si>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</si>
  <si>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</si>
  <si>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</si>
  <si>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</si>
  <si>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</si>
  <si>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</si>
  <si>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</si>
  <si>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</si>
  <si>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</si>
  <si>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</si>
  <si>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</si>
  <si>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</si>
  <si>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</si>
  <si>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</si>
  <si>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</si>
  <si>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</si>
  <si>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</si>
  <si>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</si>
  <si>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</si>
  <si>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</si>
  <si>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</si>
  <si>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</si>
  <si>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</si>
  <si>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</si>
  <si>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</si>
  <si>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</si>
  <si>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</si>
  <si>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</si>
  <si>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</si>
  <si>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</si>
  <si>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</si>
  <si>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</si>
  <si>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</si>
  <si>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</si>
  <si>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</si>
  <si>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</si>
  <si>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</si>
  <si>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</si>
  <si>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</si>
  <si>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</si>
  <si>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</si>
  <si>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</si>
  <si>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</si>
  <si>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</si>
  <si>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</si>
  <si>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</si>
  <si>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</si>
  <si>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</si>
  <si>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</si>
  <si>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</si>
  <si>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</si>
  <si>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</si>
  <si>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</si>
  <si>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</si>
  <si>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</si>
  <si>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</si>
  <si>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</si>
  <si>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</si>
  <si>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</si>
  <si>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</si>
  <si>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</si>
  <si>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</si>
  <si>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</si>
  <si>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</si>
  <si>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</si>
  <si>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</si>
  <si>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</si>
  <si>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</si>
  <si>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</si>
  <si>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</si>
  <si>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</si>
  <si>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</si>
  <si>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</si>
  <si>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</si>
  <si>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</si>
  <si>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</si>
  <si>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</si>
  <si>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</si>
  <si>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</si>
  <si>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</si>
  <si>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</si>
  <si>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</si>
  <si>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</si>
  <si>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</si>
  <si>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</si>
  <si>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</si>
  <si>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</si>
  <si>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</si>
  <si>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</si>
  <si>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</si>
  <si>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</si>
  <si>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</si>
  <si>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</si>
  <si>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</si>
  <si>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</si>
  <si>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</si>
  <si>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</si>
  <si>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</si>
  <si>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</si>
  <si>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</si>
  <si>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</si>
  <si>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</si>
  <si>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</si>
  <si>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</si>
  <si>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</si>
  <si>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</si>
  <si>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</si>
  <si>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</si>
  <si>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</si>
  <si>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</si>
  <si>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</si>
  <si>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</si>
  <si>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</si>
  <si>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</si>
  <si>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</si>
  <si>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</si>
  <si>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</si>
  <si>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</si>
  <si>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</si>
  <si>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</si>
  <si>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</si>
  <si>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</si>
  <si>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</si>
  <si>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</si>
  <si>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</si>
  <si>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</si>
  <si>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</si>
  <si>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</si>
  <si>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</si>
  <si>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</si>
  <si>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</si>
  <si>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</si>
  <si>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</si>
  <si>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</si>
  <si>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</si>
  <si>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</si>
  <si>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</si>
  <si>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</si>
  <si>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</si>
  <si>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</si>
  <si>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</si>
  <si>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</si>
  <si>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</si>
  <si>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</si>
  <si>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</si>
  <si>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</si>
  <si>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</si>
  <si>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</si>
  <si>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</si>
  <si>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</si>
  <si>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</si>
  <si>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</si>
  <si>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</si>
  <si>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</si>
  <si>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</si>
  <si>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</si>
  <si>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</si>
  <si>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</si>
  <si>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</si>
  <si>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</si>
  <si>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</si>
  <si>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</si>
  <si>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</si>
  <si>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</si>
  <si>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</si>
  <si>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</si>
  <si>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</si>
  <si>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</si>
  <si>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</si>
  <si>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</si>
  <si>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</si>
  <si>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</si>
  <si>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</si>
  <si>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</si>
  <si>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</si>
  <si>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</si>
  <si>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</si>
  <si>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</si>
  <si>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</si>
  <si>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</si>
  <si>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</si>
  <si>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</si>
  <si>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</si>
  <si>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</si>
  <si>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</si>
  <si>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</si>
  <si>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</si>
  <si>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</si>
  <si>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</si>
  <si>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</si>
  <si>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</si>
  <si>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</si>
  <si>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</si>
  <si>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</si>
  <si>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</si>
  <si>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</si>
  <si>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</si>
  <si>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</si>
  <si>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</si>
  <si>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</si>
  <si>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</si>
  <si>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</si>
  <si>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</si>
  <si>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</si>
  <si>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</si>
  <si>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</si>
  <si>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</si>
  <si>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</si>
  <si>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</si>
  <si>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</si>
  <si>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</si>
  <si>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</si>
  <si>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</si>
  <si>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</si>
  <si>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</si>
  <si>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</si>
  <si>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</si>
  <si>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</si>
  <si>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</si>
  <si>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</si>
  <si>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</si>
  <si>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</si>
  <si>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</si>
  <si>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</si>
  <si>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</si>
  <si>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</si>
  <si>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</si>
  <si>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</si>
  <si>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</si>
  <si>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</si>
  <si>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</si>
  <si>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</si>
  <si>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</si>
  <si>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</si>
  <si>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</si>
  <si>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</si>
  <si>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</si>
  <si>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</si>
  <si>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</si>
  <si>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</si>
  <si>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</si>
  <si>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</si>
  <si>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</si>
  <si>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</si>
  <si>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</si>
  <si>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</si>
  <si>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</si>
  <si>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</si>
  <si>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Colostre</t>
  </si>
  <si>
    <t xml:space="preserve">Saint Martin de Brôme</t>
  </si>
  <si>
    <t xml:space="preserve">06161400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</si>
  <si>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</si>
  <si>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</si>
  <si>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</si>
  <si>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</si>
  <si>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</si>
  <si>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</si>
  <si>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</si>
  <si>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</si>
  <si>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</si>
  <si>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</si>
  <si>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</si>
  <si>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</si>
  <si>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</si>
  <si>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</si>
  <si>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</si>
  <si>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</si>
  <si>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</si>
  <si>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</si>
  <si>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</si>
  <si>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</si>
  <si>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</si>
  <si>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</si>
  <si>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</si>
  <si>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</si>
  <si>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</si>
  <si>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</si>
  <si>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</si>
  <si>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</si>
  <si>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</si>
  <si>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</si>
  <si>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</si>
  <si>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</si>
  <si>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</si>
  <si>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</si>
  <si>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</si>
  <si>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</si>
  <si>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</si>
  <si>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</si>
  <si>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</si>
  <si>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</si>
  <si>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</si>
  <si>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</si>
  <si>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</si>
  <si>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</si>
  <si>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</si>
  <si>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</si>
  <si>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</si>
  <si>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</si>
  <si>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</si>
  <si>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(15,55 %)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</si>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</sst>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8.1875</v>
      </c>
      <c r="M5" s="323"/>
      <c r="N5" s="324" t="s">
        <v>1882</v>
      </c>
      <c r="O5" s="325" t="n">
        <v>7.92857142857143</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6.72727272727273</v>
      </c>
      <c r="O8" s="354" t="n">
        <f aca="false">IF(ISERROR(AVERAGE(J23:J82)),"      -",AVERAGE(J23:J82))</f>
        <v>0.909090909090909</v>
      </c>
      <c r="P8" s="355"/>
      <c r="Q8" s="280"/>
      <c r="R8" s="280"/>
      <c r="S8" s="280"/>
      <c r="T8" s="280"/>
      <c r="U8" s="280"/>
      <c r="V8" s="280"/>
      <c r="W8" s="292"/>
      <c r="X8" s="293"/>
    </row>
    <row r="9" customFormat="false" ht="13.5" hidden="false" customHeight="false" outlineLevel="0" collapsed="false">
      <c r="A9" s="313" t="s">
        <v>2634</v>
      </c>
      <c r="B9" s="356" t="n">
        <v>15.55</v>
      </c>
      <c r="C9" s="357"/>
      <c r="D9" s="358"/>
      <c r="E9" s="358"/>
      <c r="F9" s="359" t="n">
        <f aca="false">($B9*$B$7+$C9*$C$7)/100</f>
        <v>15.55</v>
      </c>
      <c r="G9" s="360"/>
      <c r="H9" s="361"/>
      <c r="I9" s="362"/>
      <c r="J9" s="363"/>
      <c r="K9" s="343"/>
      <c r="L9" s="364"/>
      <c r="M9" s="353" t="s">
        <v>2635</v>
      </c>
      <c r="N9" s="354" t="n">
        <f aca="false">IF(ISERROR(STDEVP(I23:I82)),"     -",STDEVP(I23:I82))</f>
        <v>4.67276264578051</v>
      </c>
      <c r="O9" s="354" t="n">
        <f aca="false">IF(ISERROR(STDEVP(J23:J82)),"      -",STDEVP(J23:J82))</f>
        <v>0.668042657122685</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12</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11</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11</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6</v>
      </c>
      <c r="L15" s="386"/>
      <c r="M15" s="407" t="s">
        <v>2653</v>
      </c>
      <c r="N15" s="408" t="n">
        <f aca="false">COUNTIF(J23:J82,"=1")</f>
        <v>6</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2</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15.55</v>
      </c>
      <c r="C20" s="436" t="n">
        <f aca="false">SUM(C23:C82)</f>
        <v>0</v>
      </c>
      <c r="D20" s="437"/>
      <c r="E20" s="438" t="s">
        <v>2659</v>
      </c>
      <c r="F20" s="439" t="n">
        <f aca="false">($B20*$B$7+$C20*$C$7)/100</f>
        <v>15.55</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15.55</v>
      </c>
      <c r="C21" s="449" t="n">
        <f aca="false">C20*C7/100</f>
        <v>0</v>
      </c>
      <c r="D21" s="381" t="str">
        <f aca="false">IF(F21=0,"",IF((ABS(F21-F19))&gt;(0.2*F21),CONCATENATE(" rec. par taxa (",F21," %) supérieur à 20 % !"),""))</f>
        <v> rec. par taxa (15,55 %) supérieur à 20 % !</v>
      </c>
      <c r="E21" s="450" t="str">
        <f aca="false">IF(F21=0,"",IF((ABS(F21-F19))&gt;(0.2*F21),CONCATENATE("ATTENTION : écart entre rec. par grp (",F19," %) ","et",""),""))</f>
        <v>ATTENTION : écart entre rec. par grp (0 %) et</v>
      </c>
      <c r="F21" s="451" t="n">
        <f aca="false">B21+C21</f>
        <v>15.55</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4</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4</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175</v>
      </c>
      <c r="B24" s="494" t="n">
        <v>0.01</v>
      </c>
      <c r="C24" s="495"/>
      <c r="D24" s="477" t="str">
        <f aca="false">IF(ISERROR(VLOOKUP($A24,'liste reference'!$A$7:$D$904,2,0)),IF(ISERROR(VLOOKUP($A24,'liste reference'!$B$7:$D$904,1,0)),"",VLOOKUP($A24,'liste reference'!$B$7:$D$904,1,0)),VLOOKUP($A24,'liste reference'!$A$7:$D$904,2,0))</f>
        <v>Microspora sp.</v>
      </c>
      <c r="E24" s="496" t="e">
        <f aca="false">IF(D24="",0,VLOOKUP(D24,D$22:D23,1,0))</f>
        <v>#N/A</v>
      </c>
      <c r="F24" s="497" t="n">
        <f aca="false">($B24*$B$7+$C24*$C$7)/100</f>
        <v>0.01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Microspora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1132</v>
      </c>
      <c r="Q24" s="486" t="n">
        <f aca="false">IF(ISTEXT(H24),"",(B24*$B$7/100)+(C24*$C$7/100))</f>
        <v>0.01</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MICSPX</v>
      </c>
      <c r="Z24" s="280" t="n">
        <f aca="false">IF(ISERROR(MATCH(A24,'liste reference'!$A$8:$A$904,0)),IF(ISERROR(MATCH(A24,'liste reference'!$B$8:$B$904,0)),"",(MATCH(A24,'liste reference'!$B$8:$B$904,0))),(MATCH(A24,'liste reference'!$A$8:$A$904,0)))</f>
        <v>41</v>
      </c>
      <c r="AA24" s="491"/>
      <c r="AB24" s="492"/>
      <c r="AC24" s="492"/>
      <c r="BB24" s="280" t="n">
        <f aca="false">IF(A24="","",1)</f>
        <v>1</v>
      </c>
    </row>
    <row r="25" customFormat="false" ht="12.75" hidden="false" customHeight="false" outlineLevel="0" collapsed="false">
      <c r="A25" s="493" t="s">
        <v>295</v>
      </c>
      <c r="B25" s="494" t="n">
        <v>0.01</v>
      </c>
      <c r="C25" s="495"/>
      <c r="D25" s="477" t="str">
        <f aca="false">IF(ISERROR(VLOOKUP($A25,'liste reference'!$A$7:$D$904,2,0)),IF(ISERROR(VLOOKUP($A25,'liste reference'!$B$7:$D$904,1,0)),"",VLOOKUP($A25,'liste reference'!$B$7:$D$904,1,0)),VLOOKUP($A25,'liste reference'!$A$7:$D$904,2,0))</f>
        <v>Tribonema sp.</v>
      </c>
      <c r="E25" s="496" t="e">
        <f aca="false">IF(D25="",0,VLOOKUP(D25,D$22:D24,1,0))</f>
        <v>#N/A</v>
      </c>
      <c r="F25" s="497" t="n">
        <f aca="false">($B25*$B$7+$C25*$C$7)/100</f>
        <v>0.01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11</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Tribonema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1167</v>
      </c>
      <c r="Q25" s="486" t="n">
        <f aca="false">IF(ISTEXT(H25),"",(B25*$B$7/100)+(C25*$C$7/100))</f>
        <v>0.01</v>
      </c>
      <c r="R25" s="487" t="n">
        <f aca="false">IF(OR(ISTEXT(H25),Q25=0),"",IF(Q25&lt;0.1,1,IF(Q25&lt;1,2,IF(Q25&lt;10,3,IF(Q25&lt;50,4,IF(Q25&gt;=50,5,""))))))</f>
        <v>1</v>
      </c>
      <c r="S25" s="487" t="n">
        <f aca="false">IF(ISERROR(R25*I25),0,R25*I25)</f>
        <v>11</v>
      </c>
      <c r="T25" s="487" t="n">
        <f aca="false">IF(ISERROR(R25*I25*J25),0,R25*I25*J25)</f>
        <v>22</v>
      </c>
      <c r="U25" s="499" t="n">
        <f aca="false">IF(ISERROR(R25*J25),0,R25*J25)</f>
        <v>2</v>
      </c>
      <c r="V25" s="488" t="str">
        <f aca="false">IF(AND(A25="",F25=0),"",IF(F25=0,"Il manque le(s) % de rec. !",""))</f>
        <v/>
      </c>
      <c r="W25" s="489"/>
      <c r="Y25" s="490" t="str">
        <f aca="false">IF(A25="new.cod","NEWCOD",IF(AND((Z25=""),ISTEXT(A25)),A25,IF(Z25="","",INDEX('liste reference'!$A$8:$A$904,Z25))))</f>
        <v>TRISPX</v>
      </c>
      <c r="Z25" s="280" t="n">
        <f aca="false">IF(ISERROR(MATCH(A25,'liste reference'!$A$8:$A$904,0)),IF(ISERROR(MATCH(A25,'liste reference'!$B$8:$B$904,0)),"",(MATCH(A25,'liste reference'!$B$8:$B$904,0))),(MATCH(A25,'liste reference'!$A$8:$A$904,0)))</f>
        <v>80</v>
      </c>
      <c r="AA25" s="491"/>
      <c r="AB25" s="492"/>
      <c r="AC25" s="492"/>
      <c r="BB25" s="280" t="n">
        <f aca="false">IF(A25="","",1)</f>
        <v>1</v>
      </c>
    </row>
    <row r="26" customFormat="false" ht="12.75" hidden="false" customHeight="false" outlineLevel="0" collapsed="false">
      <c r="A26" s="493" t="s">
        <v>301</v>
      </c>
      <c r="B26" s="494" t="n">
        <v>11</v>
      </c>
      <c r="C26" s="495"/>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11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11</v>
      </c>
      <c r="R26" s="487" t="n">
        <f aca="false">IF(OR(ISTEXT(H26),Q26=0),"",IF(Q26&lt;0.1,1,IF(Q26&lt;1,2,IF(Q26&lt;10,3,IF(Q26&lt;50,4,IF(Q26&gt;=50,5,""))))))</f>
        <v>4</v>
      </c>
      <c r="S26" s="487" t="n">
        <f aca="false">IF(ISERROR(R26*I26),0,R26*I26)</f>
        <v>16</v>
      </c>
      <c r="T26" s="487" t="n">
        <f aca="false">IF(ISERROR(R26*I26*J26),0,R26*I26*J26)</f>
        <v>16</v>
      </c>
      <c r="U26" s="499" t="n">
        <f aca="false">IF(ISERROR(R26*J26),0,R26*J26)</f>
        <v>4</v>
      </c>
      <c r="V26" s="488" t="str">
        <f aca="false">IF(AND(A26="",F26=0),"",IF(F26=0,"Il manque le(s) % de rec. !",""))</f>
        <v/>
      </c>
      <c r="W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2.75" hidden="false" customHeight="false" outlineLevel="0" collapsed="false">
      <c r="A27" s="493" t="s">
        <v>1153</v>
      </c>
      <c r="B27" s="494" t="n">
        <v>0.005</v>
      </c>
      <c r="C27" s="495"/>
      <c r="D27" s="477" t="str">
        <f aca="false">IF(ISERROR(VLOOKUP($A27,'liste reference'!$A$7:$D$904,2,0)),IF(ISERROR(VLOOKUP($A27,'liste reference'!$B$7:$D$904,1,0)),"",VLOOKUP($A27,'liste reference'!$B$7:$D$904,1,0)),VLOOKUP($A27,'liste reference'!$A$7:$D$904,2,0))</f>
        <v>Equisetum arvense</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PTE</v>
      </c>
      <c r="H27" s="480" t="n">
        <f aca="false">IF(A27="","x",IF(ISERROR(VLOOKUP($A27,'liste reference'!$A$8:$P$904,14,0)),IF(ISERROR(VLOOKUP($A27,'liste reference'!$B$8:$P$904,13,0)),"x",VLOOKUP($A27,'liste reference'!$B$8:$P$904,13,0)),VLOOKUP($A27,'liste reference'!$A$8:$P$904,14,0)))</f>
        <v>6</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Equisetum arvense</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1384</v>
      </c>
      <c r="Q27" s="486" t="n">
        <f aca="false">IF(ISTEXT(H27),"",(B27*$B$7/100)+(C27*$C$7/100))</f>
        <v>0.005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EQUARV</v>
      </c>
      <c r="Z27" s="280" t="n">
        <f aca="false">IF(ISERROR(MATCH(A27,'liste reference'!$A$8:$A$904,0)),IF(ISERROR(MATCH(A27,'liste reference'!$B$8:$B$904,0)),"",(MATCH(A27,'liste reference'!$B$8:$B$904,0))),(MATCH(A27,'liste reference'!$A$8:$A$904,0)))</f>
        <v>278</v>
      </c>
      <c r="AA27" s="491"/>
      <c r="AB27" s="492"/>
      <c r="AC27" s="492"/>
      <c r="BB27" s="280" t="n">
        <f aca="false">IF(A27="","",1)</f>
        <v>1</v>
      </c>
    </row>
    <row r="28" customFormat="false" ht="12.75" hidden="false" customHeight="false" outlineLevel="0" collapsed="false">
      <c r="A28" s="493" t="s">
        <v>1708</v>
      </c>
      <c r="B28" s="494" t="n">
        <v>0.005</v>
      </c>
      <c r="C28" s="495"/>
      <c r="D28" s="477" t="str">
        <f aca="false">IF(ISERROR(VLOOKUP($A28,'liste reference'!$A$7:$D$904,2,0)),IF(ISERROR(VLOOKUP($A28,'liste reference'!$B$7:$D$904,1,0)),"",VLOOKUP($A28,'liste reference'!$B$7:$D$904,1,0)),VLOOKUP($A28,'liste reference'!$A$7:$D$904,2,0))</f>
        <v>Agrostis stolonifera</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Agrostis stolonifera</v>
      </c>
      <c r="L28" s="498"/>
      <c r="M28" s="498"/>
      <c r="N28" s="498"/>
      <c r="O28" s="484" t="s">
        <v>2684</v>
      </c>
      <c r="P28" s="485" t="n">
        <f aca="false">IF($A28="NEWCOD",IF($AC28="","No",$AC28),IF(ISTEXT($E28),"DEJA SAISI !",IF($A28="","",IF(ISERROR(VLOOKUP($A28,'liste reference'!A:S,19,FALSE())),IF(ISERROR(VLOOKUP($A28,'liste reference'!B:S,19,FALSE())),"",VLOOKUP($A28,'liste reference'!B:S,19,FALSE())),VLOOKUP($A28,'liste reference'!A:S,19,FALSE())))))</f>
        <v>1543</v>
      </c>
      <c r="Q28" s="486" t="n">
        <f aca="false">IF(ISTEXT(H28),"",(B28*$B$7/100)+(C28*$C$7/100))</f>
        <v>0.005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AGRSTO</v>
      </c>
      <c r="Z28" s="280" t="n">
        <f aca="false">IF(ISERROR(MATCH(A28,'liste reference'!$A$8:$A$904,0)),IF(ISERROR(MATCH(A28,'liste reference'!$B$8:$B$904,0)),"",(MATCH(A28,'liste reference'!$B$8:$B$904,0))),(MATCH(A28,'liste reference'!$A$8:$A$904,0)))</f>
        <v>514</v>
      </c>
      <c r="AA28" s="491" t="s">
        <v>2684</v>
      </c>
      <c r="AB28" s="492"/>
      <c r="AC28" s="492"/>
      <c r="BB28" s="280" t="n">
        <f aca="false">IF(A28="","",1)</f>
        <v>1</v>
      </c>
    </row>
    <row r="29" customFormat="false" ht="12.75" hidden="false" customHeight="false" outlineLevel="0" collapsed="false">
      <c r="A29" s="493" t="s">
        <v>1793</v>
      </c>
      <c r="B29" s="494" t="n">
        <v>0.005</v>
      </c>
      <c r="C29" s="495"/>
      <c r="D29" s="477" t="str">
        <f aca="false">IF(ISERROR(VLOOKUP($A29,'liste reference'!$A$7:$D$904,2,0)),IF(ISERROR(VLOOKUP($A29,'liste reference'!$B$7:$D$904,1,0)),"",VLOOKUP($A29,'liste reference'!$B$7:$D$904,1,0)),VLOOKUP($A29,'liste reference'!$A$7:$D$904,2,0))</f>
        <v>Carex sp.</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PHe</v>
      </c>
      <c r="H29" s="480" t="n">
        <f aca="false">IF(A29="","x",IF(ISERROR(VLOOKUP($A29,'liste reference'!$A$8:$P$904,14,0)),IF(ISERROR(VLOOKUP($A29,'liste reference'!$B$8:$P$904,13,0)),"x",VLOOKUP($A29,'liste reference'!$B$8:$P$904,13,0)),VLOOKUP($A29,'liste reference'!$A$8:$P$904,14,0)))</f>
        <v>8</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Carex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1466</v>
      </c>
      <c r="Q29" s="486" t="n">
        <f aca="false">IF(ISTEXT(H29),"",(B29*$B$7/100)+(C29*$C$7/100))</f>
        <v>0.005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CARSPX</v>
      </c>
      <c r="Z29" s="280" t="n">
        <f aca="false">IF(ISERROR(MATCH(A29,'liste reference'!$A$8:$A$904,0)),IF(ISERROR(MATCH(A29,'liste reference'!$B$8:$B$904,0)),"",(MATCH(A29,'liste reference'!$B$8:$B$904,0))),(MATCH(A29,'liste reference'!$A$8:$A$904,0)))</f>
        <v>545</v>
      </c>
      <c r="AA29" s="491"/>
      <c r="AB29" s="492"/>
      <c r="AC29" s="492"/>
      <c r="BB29" s="280" t="n">
        <f aca="false">IF(A29="","",1)</f>
        <v>1</v>
      </c>
    </row>
    <row r="30" customFormat="false" ht="12.75" hidden="false" customHeight="false" outlineLevel="0" collapsed="false">
      <c r="A30" s="493" t="s">
        <v>1882</v>
      </c>
      <c r="B30" s="494" t="n">
        <v>0.5</v>
      </c>
      <c r="C30" s="495"/>
      <c r="D30" s="477" t="str">
        <f aca="false">IF(ISERROR(VLOOKUP($A30,'liste reference'!$A$7:$D$904,2,0)),IF(ISERROR(VLOOKUP($A30,'liste reference'!$B$7:$D$904,1,0)),"",VLOOKUP($A30,'liste reference'!$B$7:$D$904,1,0)),VLOOKUP($A30,'liste reference'!$A$7:$D$904,2,0))</f>
        <v>Iris pseudacorus</v>
      </c>
      <c r="E30" s="496" t="e">
        <f aca="false">IF(D30="",0,VLOOKUP(D30,D$22:D29,1,0))</f>
        <v>#N/A</v>
      </c>
      <c r="F30" s="497" t="n">
        <f aca="false">($B30*$B$7+$C30*$C$7)/100</f>
        <v>0.5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Iris pseudacorus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1601</v>
      </c>
      <c r="Q30" s="486" t="n">
        <f aca="false">IF(ISTEXT(H30),"",(B30*$B$7/100)+(C30*$C$7/100))</f>
        <v>0.5</v>
      </c>
      <c r="R30" s="487" t="n">
        <f aca="false">IF(OR(ISTEXT(H30),Q30=0),"",IF(Q30&lt;0.1,1,IF(Q30&lt;1,2,IF(Q30&lt;10,3,IF(Q30&lt;50,4,IF(Q30&gt;=50,5,""))))))</f>
        <v>2</v>
      </c>
      <c r="S30" s="487" t="n">
        <f aca="false">IF(ISERROR(R30*I30),0,R30*I30)</f>
        <v>20</v>
      </c>
      <c r="T30" s="487" t="n">
        <f aca="false">IF(ISERROR(R30*I30*J30),0,R30*I30*J30)</f>
        <v>20</v>
      </c>
      <c r="U30" s="499" t="n">
        <f aca="false">IF(ISERROR(R30*J30),0,R30*J30)</f>
        <v>2</v>
      </c>
      <c r="V30" s="488" t="str">
        <f aca="false">IF(AND(A30="",F30=0),"",IF(F30=0,"Il manque le(s) % de rec. !",""))</f>
        <v/>
      </c>
      <c r="W30" s="489"/>
      <c r="Y30" s="490" t="str">
        <f aca="false">IF(A30="new.cod","NEWCOD",IF(AND((Z30=""),ISTEXT(A30)),A30,IF(Z30="","",INDEX('liste reference'!$A$8:$A$904,Z30))))</f>
        <v>IRIPSE</v>
      </c>
      <c r="Z30" s="280" t="n">
        <f aca="false">IF(ISERROR(MATCH(A30,'liste reference'!$A$8:$A$904,0)),IF(ISERROR(MATCH(A30,'liste reference'!$B$8:$B$904,0)),"",(MATCH(A30,'liste reference'!$B$8:$B$904,0))),(MATCH(A30,'liste reference'!$A$8:$A$904,0)))</f>
        <v>582</v>
      </c>
      <c r="AA30" s="491"/>
      <c r="AB30" s="492"/>
      <c r="AC30" s="492"/>
      <c r="BB30" s="280" t="n">
        <f aca="false">IF(A30="","",1)</f>
        <v>1</v>
      </c>
    </row>
    <row r="31" customFormat="false" ht="12.75" hidden="false" customHeight="false" outlineLevel="0" collapsed="false">
      <c r="A31" s="493" t="s">
        <v>1984</v>
      </c>
      <c r="B31" s="494" t="n">
        <v>0.005</v>
      </c>
      <c r="C31" s="495"/>
      <c r="D31" s="477" t="str">
        <f aca="false">IF(ISERROR(VLOOKUP($A31,'liste reference'!$A$7:$D$904,2,0)),IF(ISERROR(VLOOKUP($A31,'liste reference'!$B$7:$D$904,1,0)),"",VLOOKUP($A31,'liste reference'!$B$7:$D$904,1,0)),VLOOKUP($A31,'liste reference'!$A$7:$D$904,2,0))</f>
        <v>Nasturtium officinale</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11</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Nasturtium officinale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1763</v>
      </c>
      <c r="Q31" s="486" t="n">
        <f aca="false">IF(ISTEXT(H31),"",(B31*$B$7/100)+(C31*$C$7/100))</f>
        <v>0.005</v>
      </c>
      <c r="R31" s="487" t="n">
        <f aca="false">IF(OR(ISTEXT(H31),Q31=0),"",IF(Q31&lt;0.1,1,IF(Q31&lt;1,2,IF(Q31&lt;10,3,IF(Q31&lt;50,4,IF(Q31&gt;=50,5,""))))))</f>
        <v>1</v>
      </c>
      <c r="S31" s="487" t="n">
        <f aca="false">IF(ISERROR(R31*I31),0,R31*I31)</f>
        <v>11</v>
      </c>
      <c r="T31" s="487" t="n">
        <f aca="false">IF(ISERROR(R31*I31*J31),0,R31*I31*J31)</f>
        <v>11</v>
      </c>
      <c r="U31" s="499" t="n">
        <f aca="false">IF(ISERROR(R31*J31),0,R31*J31)</f>
        <v>1</v>
      </c>
      <c r="V31" s="488" t="str">
        <f aca="false">IF(AND(A31="",F31=0),"",IF(F31=0,"Il manque le(s) % de rec. !",""))</f>
        <v/>
      </c>
      <c r="W31" s="489"/>
      <c r="Y31" s="490" t="str">
        <f aca="false">IF(A31="new.cod","NEWCOD",IF(AND((Z31=""),ISTEXT(A31)),A31,IF(Z31="","",INDEX('liste reference'!$A$8:$A$904,Z31))))</f>
        <v>NASOFF</v>
      </c>
      <c r="Z31" s="280" t="n">
        <f aca="false">IF(ISERROR(MATCH(A31,'liste reference'!$A$8:$A$904,0)),IF(ISERROR(MATCH(A31,'liste reference'!$B$8:$B$904,0)),"",(MATCH(A31,'liste reference'!$B$8:$B$904,0))),(MATCH(A31,'liste reference'!$A$8:$A$904,0)))</f>
        <v>628</v>
      </c>
      <c r="AA31" s="491"/>
      <c r="AB31" s="492"/>
      <c r="AC31" s="492"/>
      <c r="BB31" s="280" t="n">
        <f aca="false">IF(A31="","",1)</f>
        <v>1</v>
      </c>
    </row>
    <row r="32" customFormat="false" ht="12.75" hidden="false" customHeight="false" outlineLevel="0" collapsed="false">
      <c r="A32" s="493" t="s">
        <v>2111</v>
      </c>
      <c r="B32" s="494" t="n">
        <v>0.005</v>
      </c>
      <c r="C32" s="495"/>
      <c r="D32" s="477" t="str">
        <f aca="false">IF(ISERROR(VLOOKUP($A32,'liste reference'!$A$7:$D$904,2,0)),IF(ISERROR(VLOOKUP($A32,'liste reference'!$B$7:$D$904,1,0)),"",VLOOKUP($A32,'liste reference'!$B$7:$D$904,1,0)),VLOOKUP($A32,'liste reference'!$A$7:$D$904,2,0))</f>
        <v>Veronica beccabunga</v>
      </c>
      <c r="E32" s="496" t="e">
        <f aca="false">IF(D32="",0,VLOOKUP(D32,D$22:D31,1,0))</f>
        <v>#N/A</v>
      </c>
      <c r="F32" s="497" t="n">
        <f aca="false">($B32*$B$7+$C32*$C$7)/100</f>
        <v>0.005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Veronica beccabunga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1957</v>
      </c>
      <c r="Q32" s="486" t="n">
        <f aca="false">IF(ISTEXT(H32),"",(B32*$B$7/100)+(C32*$C$7/100))</f>
        <v>0.005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X32" s="489"/>
      <c r="Y32" s="490" t="str">
        <f aca="false">IF(A32="new.cod","NEWCOD",IF(AND((Z32=""),ISTEXT(A32)),A32,IF(Z32="","",INDEX('liste reference'!$A$8:$A$904,Z32))))</f>
        <v>VERBEC</v>
      </c>
      <c r="Z32" s="280" t="n">
        <f aca="false">IF(ISERROR(MATCH(A32,'liste reference'!$A$8:$A$904,0)),IF(ISERROR(MATCH(A32,'liste reference'!$B$8:$B$904,0)),"",(MATCH(A32,'liste reference'!$B$8:$B$904,0))),(MATCH(A32,'liste reference'!$A$8:$A$904,0)))</f>
        <v>683</v>
      </c>
      <c r="AA32" s="491"/>
      <c r="AB32" s="492"/>
      <c r="AC32" s="492"/>
      <c r="BB32" s="280" t="n">
        <f aca="false">IF(A32="","",1)</f>
        <v>1</v>
      </c>
    </row>
    <row r="33" customFormat="false" ht="12.75" hidden="false" customHeight="false" outlineLevel="0" collapsed="false">
      <c r="A33" s="493" t="s">
        <v>2422</v>
      </c>
      <c r="B33" s="494" t="n">
        <v>0.005</v>
      </c>
      <c r="C33" s="495"/>
      <c r="D33" s="477" t="str">
        <f aca="false">IF(ISERROR(VLOOKUP($A33,'liste reference'!$A$7:$D$904,2,0)),IF(ISERROR(VLOOKUP($A33,'liste reference'!$B$7:$D$904,1,0)),"",VLOOKUP($A33,'liste reference'!$B$7:$D$904,1,0)),VLOOKUP($A33,'liste reference'!$A$7:$D$904,2,0))</f>
        <v>Scrophularia umbrosa</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PHg</v>
      </c>
      <c r="H33" s="480" t="n">
        <f aca="false">IF(A33="","x",IF(ISERROR(VLOOKUP($A33,'liste reference'!$A$8:$P$904,14,0)),IF(ISERROR(VLOOKUP($A33,'liste reference'!$B$8:$P$904,13,0)),"x",VLOOKUP($A33,'liste reference'!$B$8:$P$904,13,0)),VLOOKUP($A33,'liste reference'!$A$8:$P$904,14,0)))</f>
        <v>9</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Scrophularia umbrosa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1953</v>
      </c>
      <c r="Q33" s="486" t="n">
        <f aca="false">IF(ISTEXT(H33),"",(B33*$B$7/100)+(C33*$C$7/100))</f>
        <v>0.005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SCRUMB</v>
      </c>
      <c r="Z33" s="280" t="n">
        <f aca="false">IF(ISERROR(MATCH(A33,'liste reference'!$A$8:$A$904,0)),IF(ISERROR(MATCH(A33,'liste reference'!$B$8:$B$904,0)),"",(MATCH(A33,'liste reference'!$B$8:$B$904,0))),(MATCH(A33,'liste reference'!$A$8:$A$904,0)))</f>
        <v>818</v>
      </c>
      <c r="AA33" s="491"/>
      <c r="AB33" s="492"/>
      <c r="AC33" s="492"/>
      <c r="BB33" s="280" t="n">
        <f aca="false">IF(A33="","",1)</f>
        <v>1</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Colostre</v>
      </c>
      <c r="B84" s="529" t="str">
        <f aca="false">C3</f>
        <v>Saint Martin de Brôme</v>
      </c>
      <c r="C84" s="530" t="n">
        <f aca="false">A4</f>
        <v>41855</v>
      </c>
      <c r="D84" s="531" t="n">
        <f aca="false">IF(ISERROR(SUM($T$23:$T$82)/SUM($U$23:$U$82)),"",SUM($T$23:$T$82)/SUM($U$23:$U$82))</f>
        <v>8.1875</v>
      </c>
      <c r="E84" s="532" t="n">
        <f aca="false">N13</f>
        <v>11</v>
      </c>
      <c r="F84" s="529" t="n">
        <f aca="false">N14</f>
        <v>11</v>
      </c>
      <c r="G84" s="529" t="n">
        <f aca="false">N15</f>
        <v>6</v>
      </c>
      <c r="H84" s="529" t="n">
        <f aca="false">N16</f>
        <v>2</v>
      </c>
      <c r="I84" s="529" t="n">
        <f aca="false">N17</f>
        <v>0</v>
      </c>
      <c r="J84" s="533" t="n">
        <f aca="false">N8</f>
        <v>6.72727272727273</v>
      </c>
      <c r="K84" s="531" t="n">
        <f aca="false">N9</f>
        <v>4.67276264578051</v>
      </c>
      <c r="L84" s="532" t="n">
        <f aca="false">N10</f>
        <v>0</v>
      </c>
      <c r="M84" s="532" t="n">
        <f aca="false">N11</f>
        <v>12</v>
      </c>
      <c r="N84" s="531" t="n">
        <f aca="false">O8</f>
        <v>0.909090909090909</v>
      </c>
      <c r="O84" s="531" t="n">
        <f aca="false">O9</f>
        <v>0.668042657122685</v>
      </c>
      <c r="P84" s="532" t="n">
        <f aca="false">O10</f>
        <v>0</v>
      </c>
      <c r="Q84" s="532" t="n">
        <f aca="false">O11</f>
        <v>2</v>
      </c>
      <c r="R84" s="532" t="n">
        <f aca="false">F21</f>
        <v>15.55</v>
      </c>
      <c r="S84" s="532" t="n">
        <f aca="false">K11</f>
        <v>0</v>
      </c>
      <c r="T84" s="532" t="n">
        <f aca="false">K12</f>
        <v>4</v>
      </c>
      <c r="U84" s="532" t="n">
        <f aca="false">K13</f>
        <v>0</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20</v>
      </c>
      <c r="T87" s="280"/>
      <c r="U87" s="280"/>
      <c r="V87" s="280"/>
    </row>
    <row r="88" customFormat="false" ht="12.75" hidden="true" customHeight="false" outlineLevel="0" collapsed="false">
      <c r="P88" s="280"/>
      <c r="Q88" s="280" t="s">
        <v>2688</v>
      </c>
      <c r="R88" s="280"/>
      <c r="S88" s="488" t="n">
        <f aca="false">VLOOKUP((S87),($S$23:$U$82),2,0)</f>
        <v>20</v>
      </c>
      <c r="T88" s="280"/>
      <c r="U88" s="280"/>
      <c r="V88" s="280"/>
    </row>
    <row r="89" customFormat="false" ht="12.75" hidden="true" customHeight="false" outlineLevel="0" collapsed="false">
      <c r="Q89" s="280" t="s">
        <v>2689</v>
      </c>
      <c r="R89" s="280"/>
      <c r="S89" s="488" t="n">
        <f aca="false">VLOOKUP((S87),($S$23:$U$82),3,0)</f>
        <v>2</v>
      </c>
      <c r="T89" s="280"/>
    </row>
    <row r="90" customFormat="false" ht="12.75" hidden="false" customHeight="false" outlineLevel="0" collapsed="false">
      <c r="Q90" s="280" t="s">
        <v>2690</v>
      </c>
      <c r="R90" s="280"/>
      <c r="S90" s="538" t="n">
        <f aca="false">IF(ISERROR(SUM($T$23:$T$82)/SUM($U$23:$U$82)),"",(SUM($T$23:$T$82)-S88)/(SUM($U$23:$U$82)-S89))</f>
        <v>7.92857142857143</v>
      </c>
      <c r="T90" s="280"/>
    </row>
    <row r="91" customFormat="false" ht="12.75" hidden="false" customHeight="false" outlineLevel="0" collapsed="false">
      <c r="Q91" s="487" t="s">
        <v>2691</v>
      </c>
      <c r="R91" s="487"/>
      <c r="S91" s="487" t="str">
        <f aca="false">INDEX('liste reference'!$A$8:$A$904,$T$91)</f>
        <v>IRIPSE</v>
      </c>
      <c r="T91" s="280" t="n">
        <f aca="false">IF(ISERROR(MATCH($S$93,'liste reference'!$A$8:$A$904,0)),MATCH($S$93,'liste reference'!$B$8:$B$904,0),(MATCH($S$93,'liste reference'!$A$8:$A$904,0)))</f>
        <v>582</v>
      </c>
      <c r="U91" s="527"/>
    </row>
    <row r="92" customFormat="false" ht="12.75" hidden="false" customHeight="false" outlineLevel="0" collapsed="false">
      <c r="Q92" s="280" t="s">
        <v>2692</v>
      </c>
      <c r="R92" s="280"/>
      <c r="S92" s="280" t="n">
        <f aca="false">MATCH(S87,$S$23:$S$82,0)</f>
        <v>8</v>
      </c>
      <c r="T92" s="280"/>
    </row>
    <row r="93" customFormat="false" ht="12.75" hidden="false" customHeight="false" outlineLevel="0" collapsed="false">
      <c r="Q93" s="487" t="s">
        <v>2693</v>
      </c>
      <c r="R93" s="280"/>
      <c r="S93" s="487" t="str">
        <f aca="false">INDEX($A$23:$A$82,$S$92)</f>
        <v>IRIPSE</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5"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2713</v>
      </c>
      <c r="G23" s="577"/>
      <c r="H23" s="576" t="s">
        <v>2713</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2015-01-28T13:03:51Z</dcterms:modified>
  <cp:revision>0</cp:revision>
  <dc:subject/>
  <dc:title>Feuille d'aide au calcul de l'IBMR</dc:title>
</cp:coreProperties>
</file>