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oulon-Opped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'Coulon-Oppede'!$A$1:$O$82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<sst xmlns="http://schemas.openxmlformats.org/spreadsheetml/2006/main" count="209" uniqueCount="96">
  <si>
    <t>Relevés floristiques aquatiques - IBMR</t>
  </si>
  <si>
    <t>GIS Macrophytes - juillet 2006</t>
  </si>
  <si>
    <t>Asconit</t>
  </si>
  <si>
    <t>AFA</t>
  </si>
  <si>
    <t>conforme AFNOR T90-395 oct. 2003</t>
  </si>
  <si>
    <t>Coulon</t>
  </si>
  <si>
    <t>Oppede</t>
  </si>
  <si>
    <t>06165050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</si>
  <si>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</si>
  <si>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</si>
  <si>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</si>
  <si>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</si>
  <si>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</si>
  <si>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</si>
  <si>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</si>
  <si>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VER.ANA</t>
  </si>
  <si>
    <t>Type de faciès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</si>
  <si>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</si>
  <si>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</si>
  <si>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</si>
  <si>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</si>
  <si>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</si>
  <si>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</si>
  <si>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</si>
  <si>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</si>
  <si>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</si>
  <si>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</si>
  <si>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</si>
  <si>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</si>
  <si>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</si>
  <si>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</si>
  <si>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</si>
  <si>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</si>
  <si>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</si>
  <si>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</si>
  <si>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</si>
  <si>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</si>
  <si>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</si>
  <si>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</si>
  <si>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</si>
  <si>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</si>
  <si>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</si>
  <si>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</si>
  <si>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</si>
  <si>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</si>
  <si>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</si>
  <si>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</si>
  <si>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</si>
  <si>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</si>
  <si>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</si>
  <si>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</si>
  <si>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</si>
  <si>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</si>
  <si>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</si>
  <si>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</si>
  <si>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</si>
  <si>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</si>
  <si>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</si>
  <si>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</si>
  <si>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</si>
  <si>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</si>
  <si>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</si>
  <si>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</si>
  <si>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</si>
  <si>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</si>
  <si>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</si>
  <si>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</si>
  <si>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</si>
  <si>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</si>
  <si>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</si>
  <si>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</si>
  <si>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</si>
  <si>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</si>
  <si>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SPI.SPX</t>
  </si>
  <si>
    <t>CLA.SPX</t>
  </si>
  <si>
    <t>OED.SPX</t>
  </si>
  <si>
    <t>CHA.SPX</t>
  </si>
  <si>
    <t>FIS.CRA</t>
  </si>
  <si>
    <t>PHR.AUS</t>
  </si>
  <si>
    <t>AGR.STO</t>
  </si>
  <si>
    <t>POL.HYD</t>
  </si>
  <si>
    <t>NAS.OFF</t>
  </si>
  <si>
    <t>SPA.ERE</t>
  </si>
  <si>
    <t>LUD.PEP</t>
  </si>
  <si>
    <t>GRO.DEN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</si>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</sst>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7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2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40016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9.030303030303031</v>
      </c>
      <c r="M5" s="51"/>
      <c r="N5" s="52" t="s">
        <v>15</v>
      </c>
      <c r="O5" s="53">
        <v>8.592592592592593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/>
      <c r="C6" s="56" t="s">
        <v>17</v>
      </c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/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9.5</v>
      </c>
      <c r="O8" s="84">
        <f>AVERAGE(J23:J82)</f>
        <v>1.5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1.9306145983268455</v>
      </c>
      <c r="O9" s="84">
        <f>STDEV(J23:J82)</f>
        <v>0.5222329678670935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/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/>
      <c r="C12" s="120">
        <v>9.48</v>
      </c>
      <c r="D12" s="111"/>
      <c r="E12" s="111"/>
      <c r="F12" s="112">
        <f t="shared" si="0"/>
        <v>9.48</v>
      </c>
      <c r="G12" s="121"/>
      <c r="H12" s="67"/>
      <c r="I12" s="122" t="s">
        <v>36</v>
      </c>
      <c r="J12" s="123"/>
      <c r="K12" s="116">
        <f>COUNTIF($G$23:$G$82,"=ALG")</f>
        <v>4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/>
      <c r="C13" s="120">
        <v>0.01</v>
      </c>
      <c r="D13" s="111"/>
      <c r="E13" s="111"/>
      <c r="F13" s="112">
        <f t="shared" si="0"/>
        <v>0.01</v>
      </c>
      <c r="G13" s="121"/>
      <c r="H13" s="67"/>
      <c r="I13" s="128" t="s">
        <v>38</v>
      </c>
      <c r="J13" s="123"/>
      <c r="K13" s="116">
        <f>COUNTIF($G$23:$G$82,"=BRm")+COUNTIF($G$23:$G$82,"=BRh")</f>
        <v>1</v>
      </c>
      <c r="L13" s="117"/>
      <c r="M13" s="129" t="s">
        <v>39</v>
      </c>
      <c r="N13" s="130">
        <f>COUNTIF(F23:F82,"&gt;0")</f>
        <v>14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/>
      <c r="C14" s="120">
        <v>0.01</v>
      </c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12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/>
      <c r="C15" s="137">
        <v>3.07</v>
      </c>
      <c r="D15" s="111"/>
      <c r="E15" s="111"/>
      <c r="F15" s="112">
        <f t="shared" si="0"/>
        <v>3.07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8</v>
      </c>
      <c r="L15" s="117"/>
      <c r="M15" s="138" t="s">
        <v>45</v>
      </c>
      <c r="N15" s="139">
        <f>COUNTIF(J23:J82,"=1")</f>
        <v>6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/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6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/>
      <c r="C17" s="120">
        <v>11.71</v>
      </c>
      <c r="D17" s="111"/>
      <c r="E17" s="111"/>
      <c r="F17" s="145"/>
      <c r="G17" s="112">
        <f t="shared" si="0"/>
        <v>11.71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/>
      <c r="C18" s="149">
        <v>0.86</v>
      </c>
      <c r="D18" s="111"/>
      <c r="E18" s="150" t="s">
        <v>51</v>
      </c>
      <c r="F18" s="145"/>
      <c r="G18" s="112">
        <f t="shared" si="0"/>
        <v>0.86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12.57</v>
      </c>
      <c r="G19" s="158">
        <f>SUM(G16:G18)</f>
        <v>12.57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95</v>
      </c>
      <c r="B20" s="166">
        <f>SUM(B23:B82)</f>
        <v>0</v>
      </c>
      <c r="C20" s="167">
        <f>SUM(C23:C82)</f>
        <v>12.569999999999999</v>
      </c>
      <c r="D20" s="168"/>
      <c r="E20" s="169" t="s">
        <v>51</v>
      </c>
      <c r="F20" s="170">
        <f>($B20*$B$7+$C20*$C$7)/100</f>
        <v>12.569999999999999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0</v>
      </c>
      <c r="C21" s="179">
        <f>C20*C7/100</f>
        <v>12.569999999999999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12.569999999999999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/>
      <c r="C23" s="204">
        <v>2.2</v>
      </c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Spirogyra sp.       </v>
      </c>
      <c r="E23" s="205" t="e">
        <f>IF(D23="",,VLOOKUP(D23,D$22:D22,1,0))</f>
        <v>#N/A</v>
      </c>
      <c r="F23" s="206">
        <f aca="true" t="shared" si="1" ref="F23:F82">($B23*$B$7+$C23*$C$7)/100</f>
        <v>2.2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Spirogyra sp.       </v>
      </c>
      <c r="L23" s="212"/>
      <c r="M23" s="212"/>
      <c r="N23" s="212"/>
      <c r="O23" s="213"/>
      <c r="P23" s="214">
        <f aca="true" t="shared" si="2" ref="P23:P82">IF(ISTEXT(H23),"",(B23*$B$7/100)+(C23*$C$7/100))</f>
        <v>2.2</v>
      </c>
      <c r="Q23" s="215">
        <f>IF(OR(ISTEXT(H23),P23=0),"",IF(P23&lt;0.1,1,IF(P23&lt;1,2,IF(P23&lt;10,3,IF(P23&lt;50,4,IF(P23&gt;=50,5,""))))))</f>
        <v>3</v>
      </c>
      <c r="R23" s="215">
        <f aca="true" t="shared" si="3" ref="R23:R82">IF(ISERROR(Q23*I23),0,Q23*I23)</f>
        <v>30</v>
      </c>
      <c r="S23" s="215">
        <f aca="true" t="shared" si="4" ref="S23:S82">IF(ISERROR(Q23*I23*J23),0,Q23*I23*J23)</f>
        <v>30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SPI.SPX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70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/>
      <c r="C24" s="223">
        <v>6</v>
      </c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Cladophora sp. </v>
      </c>
      <c r="E24" s="224" t="e">
        <f>IF(D24="",,VLOOKUP(D24,D$22:D23,1,0))</f>
        <v>#N/A</v>
      </c>
      <c r="F24" s="225">
        <f t="shared" si="1"/>
        <v>6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Cladophora sp. </v>
      </c>
      <c r="L24" s="229"/>
      <c r="M24" s="229"/>
      <c r="N24" s="229"/>
      <c r="O24" s="213"/>
      <c r="P24" s="214">
        <f t="shared" si="2"/>
        <v>6</v>
      </c>
      <c r="Q24" s="215">
        <f aca="true" t="shared" si="8" ref="Q24:Q82">IF(OR(ISTEXT(H24),P24=0),"",IF(P24&lt;0.1,1,IF(P24&lt;1,2,IF(P24&lt;10,3,IF(P24&lt;50,4,IF(P24&gt;=50,5,""))))))</f>
        <v>3</v>
      </c>
      <c r="R24" s="215">
        <f t="shared" si="3"/>
        <v>18</v>
      </c>
      <c r="S24" s="215">
        <f t="shared" si="4"/>
        <v>18</v>
      </c>
      <c r="T24" s="230">
        <f t="shared" si="5"/>
        <v>3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CLA.SPX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24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/>
      <c r="C25" s="223">
        <v>1</v>
      </c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Oedogonium sp.</v>
      </c>
      <c r="E25" s="224" t="e">
        <f>IF(D25="",,VLOOKUP(D25,D$22:D24,1,0))</f>
        <v>#N/A</v>
      </c>
      <c r="F25" s="225">
        <f t="shared" si="1"/>
        <v>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6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Oedogonium sp.</v>
      </c>
      <c r="L25" s="229"/>
      <c r="M25" s="229"/>
      <c r="N25" s="229"/>
      <c r="O25" s="213"/>
      <c r="P25" s="214">
        <f t="shared" si="2"/>
        <v>1</v>
      </c>
      <c r="Q25" s="215">
        <f t="shared" si="8"/>
        <v>3</v>
      </c>
      <c r="R25" s="215">
        <f t="shared" si="3"/>
        <v>18</v>
      </c>
      <c r="S25" s="215">
        <f t="shared" si="4"/>
        <v>36</v>
      </c>
      <c r="T25" s="230">
        <f t="shared" si="5"/>
        <v>6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OED.SPX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56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/>
      <c r="C26" s="223">
        <v>0.28</v>
      </c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Chara sp. </v>
      </c>
      <c r="E26" s="224" t="e">
        <f>IF(D26="",,VLOOKUP(D26,D$22:D25,1,0))</f>
        <v>#N/A</v>
      </c>
      <c r="F26" s="225">
        <f t="shared" si="1"/>
        <v>0.28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Chara sp. </v>
      </c>
      <c r="L26" s="229"/>
      <c r="M26" s="229"/>
      <c r="N26" s="229"/>
      <c r="O26" s="213"/>
      <c r="P26" s="214">
        <f>IF(ISTEXT(H26),"",(B26*$B$7/100)+(C26*$C$7/100))</f>
        <v>0.28</v>
      </c>
      <c r="Q26" s="215">
        <f t="shared" si="8"/>
        <v>2</v>
      </c>
      <c r="R26" s="215">
        <f>IF(ISERROR(Q26*I26),0,Q26*I26)</f>
        <v>0</v>
      </c>
      <c r="S26" s="215">
        <f>IF(ISERROR(Q26*I26*J26),0,Q26*I26*J26)</f>
        <v>0</v>
      </c>
      <c r="T26" s="230">
        <f>IF(ISERROR(Q26*J26),0,Q26*J26)</f>
        <v>0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CHA.SPX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19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/>
      <c r="C27" s="223">
        <v>0.01</v>
      </c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Fissidens crassipes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12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Fissidens crassipes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12</v>
      </c>
      <c r="S27" s="215">
        <f t="shared" si="4"/>
        <v>24</v>
      </c>
      <c r="T27" s="230">
        <f t="shared" si="5"/>
        <v>2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FIS.CRA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198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/>
      <c r="C28" s="223">
        <v>0.01</v>
      </c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Phragmites australis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PHe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8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9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Phragmites australis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9</v>
      </c>
      <c r="S28" s="215">
        <f t="shared" si="4"/>
        <v>18</v>
      </c>
      <c r="T28" s="230">
        <f t="shared" si="5"/>
        <v>2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PHR.AUS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641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/>
      <c r="C29" s="223">
        <v>0.01</v>
      </c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Agrostis stolonifera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8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10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1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Agrostis stolonifera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10</v>
      </c>
      <c r="S29" s="215">
        <f>IF(ISERROR(Q29*I29*J29),0,Q29*I29*J29)</f>
        <v>10</v>
      </c>
      <c r="T29" s="230">
        <f>IF(ISERROR(Q29*J29),0,Q29*J29)</f>
        <v>1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AGR.STO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520</v>
      </c>
      <c r="Z29" s="219"/>
      <c r="AA29" s="220"/>
      <c r="BB29" s="7">
        <f t="shared" si="7"/>
        <v>1</v>
      </c>
    </row>
    <row r="30" spans="1:54" ht="12.75">
      <c r="A30" s="221" t="s">
        <v>80</v>
      </c>
      <c r="B30" s="222"/>
      <c r="C30" s="223">
        <v>0.35</v>
      </c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Polygonum hydropiper (Persicaria hydropiper)</v>
      </c>
      <c r="E30" s="224" t="e">
        <f>IF(D30="",,VLOOKUP(D30,D$22:D29,1,0))</f>
        <v>#N/A</v>
      </c>
      <c r="F30" s="225">
        <f t="shared" si="1"/>
        <v>0.35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8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8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Polygonum hydropiper (Persicaria hydropiper)</v>
      </c>
      <c r="L30" s="229"/>
      <c r="M30" s="229"/>
      <c r="N30" s="229"/>
      <c r="O30" s="213"/>
      <c r="P30" s="214">
        <f t="shared" si="2"/>
        <v>0.35</v>
      </c>
      <c r="Q30" s="215">
        <f t="shared" si="8"/>
        <v>2</v>
      </c>
      <c r="R30" s="215">
        <f t="shared" si="3"/>
        <v>16</v>
      </c>
      <c r="S30" s="215">
        <f t="shared" si="4"/>
        <v>32</v>
      </c>
      <c r="T30" s="230">
        <f t="shared" si="5"/>
        <v>4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POL.HYD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643</v>
      </c>
      <c r="Z30" s="219"/>
      <c r="AA30" s="220"/>
      <c r="BB30" s="7">
        <f t="shared" si="7"/>
        <v>1</v>
      </c>
    </row>
    <row r="31" spans="1:54" ht="12.75">
      <c r="A31" s="221" t="s">
        <v>81</v>
      </c>
      <c r="B31" s="222"/>
      <c r="C31" s="223">
        <v>0.47</v>
      </c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Nasturtium officinale (Rorippa nasturtium-aquaticum)</v>
      </c>
      <c r="E31" s="224" t="e">
        <f>IF(D31="",,VLOOKUP(D31,D$21:D30,1,0))</f>
        <v>#N/A</v>
      </c>
      <c r="F31" s="225">
        <f t="shared" si="1"/>
        <v>0.47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11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Nasturtium officinale (Rorippa nasturtium-aquaticum)</v>
      </c>
      <c r="L31" s="229"/>
      <c r="M31" s="229"/>
      <c r="N31" s="229"/>
      <c r="O31" s="213"/>
      <c r="P31" s="214">
        <f t="shared" si="2"/>
        <v>0.47</v>
      </c>
      <c r="Q31" s="215">
        <f t="shared" si="8"/>
        <v>2</v>
      </c>
      <c r="R31" s="215">
        <f t="shared" si="3"/>
        <v>22</v>
      </c>
      <c r="S31" s="215">
        <f t="shared" si="4"/>
        <v>22</v>
      </c>
      <c r="T31" s="230">
        <f t="shared" si="5"/>
        <v>2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NAS.OFF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634</v>
      </c>
      <c r="Z31" s="219"/>
      <c r="AA31" s="220"/>
      <c r="BB31" s="7">
        <f t="shared" si="7"/>
        <v>1</v>
      </c>
    </row>
    <row r="32" spans="1:54" ht="12.75">
      <c r="A32" s="221" t="s">
        <v>82</v>
      </c>
      <c r="B32" s="222"/>
      <c r="C32" s="223">
        <v>0.01</v>
      </c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Sparganium erectum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10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Sparganium erectum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10</v>
      </c>
      <c r="S32" s="215">
        <f t="shared" si="4"/>
        <v>10</v>
      </c>
      <c r="T32" s="230">
        <f t="shared" si="5"/>
        <v>1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SPA.ERE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675</v>
      </c>
      <c r="Z32" s="219"/>
      <c r="AA32" s="220"/>
      <c r="BB32" s="7">
        <f t="shared" si="7"/>
        <v>1</v>
      </c>
    </row>
    <row r="33" spans="1:54" ht="12.75">
      <c r="A33" s="221" t="s">
        <v>15</v>
      </c>
      <c r="B33" s="222"/>
      <c r="C33" s="223">
        <v>1.9</v>
      </c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Veronica anagallis-aquatica</v>
      </c>
      <c r="E33" s="224" t="e">
        <f>IF(D33="",,VLOOKUP(D33,D$22:D32,1,0))</f>
        <v>#N/A</v>
      </c>
      <c r="F33" s="225">
        <f t="shared" si="1"/>
        <v>1.9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11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2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Veronica anagallis-aquatica</v>
      </c>
      <c r="L33" s="232"/>
      <c r="M33" s="232"/>
      <c r="N33" s="232"/>
      <c r="O33" s="233"/>
      <c r="P33" s="214">
        <f t="shared" si="2"/>
        <v>1.9</v>
      </c>
      <c r="Q33" s="215">
        <f t="shared" si="8"/>
        <v>3</v>
      </c>
      <c r="R33" s="215">
        <f t="shared" si="3"/>
        <v>33</v>
      </c>
      <c r="S33" s="215">
        <f t="shared" si="4"/>
        <v>66</v>
      </c>
      <c r="T33" s="230">
        <f t="shared" si="5"/>
        <v>6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VER.ANA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689</v>
      </c>
      <c r="Z33" s="219"/>
      <c r="AA33" s="220"/>
      <c r="BB33" s="7">
        <f t="shared" si="7"/>
        <v>1</v>
      </c>
    </row>
    <row r="34" spans="1:54" ht="12.75">
      <c r="A34" s="221" t="s">
        <v>83</v>
      </c>
      <c r="B34" s="222"/>
      <c r="C34" s="223">
        <v>0.31</v>
      </c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Ludwigia peploides </v>
      </c>
      <c r="E34" s="224" t="e">
        <f>IF(D34="",,VLOOKUP(D34,D$22:D33,1,0))</f>
        <v>#N/A</v>
      </c>
      <c r="F34" s="234">
        <f t="shared" si="1"/>
        <v>0.31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Ludwigia peploides </v>
      </c>
      <c r="L34" s="232"/>
      <c r="M34" s="232"/>
      <c r="N34" s="232"/>
      <c r="O34" s="233"/>
      <c r="P34" s="214">
        <f t="shared" si="2"/>
        <v>0.31</v>
      </c>
      <c r="Q34" s="215">
        <f t="shared" si="8"/>
        <v>2</v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LUD.PEP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600</v>
      </c>
      <c r="Z34" s="219"/>
      <c r="AA34" s="220"/>
      <c r="BB34" s="7">
        <f t="shared" si="7"/>
        <v>1</v>
      </c>
    </row>
    <row r="35" spans="1:54" ht="12.75">
      <c r="A35" s="221" t="s">
        <v>84</v>
      </c>
      <c r="B35" s="222"/>
      <c r="C35" s="223">
        <v>0.01</v>
      </c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Groenlandia densa (Potamogeton densus)</v>
      </c>
      <c r="E35" s="224" t="e">
        <f>IF(D35="",,VLOOKUP(D35,D$22:D34,1,0))</f>
        <v>#N/A</v>
      </c>
      <c r="F35" s="234">
        <f t="shared" si="1"/>
        <v>0.01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11</v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2</v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Groenlandia densa (Potamogeton densus)</v>
      </c>
      <c r="L35" s="229"/>
      <c r="M35" s="229"/>
      <c r="N35" s="229"/>
      <c r="O35" s="213"/>
      <c r="P35" s="214">
        <f t="shared" si="2"/>
        <v>0.01</v>
      </c>
      <c r="Q35" s="215">
        <f t="shared" si="8"/>
        <v>1</v>
      </c>
      <c r="R35" s="215">
        <f t="shared" si="3"/>
        <v>11</v>
      </c>
      <c r="S35" s="215">
        <f t="shared" si="4"/>
        <v>22</v>
      </c>
      <c r="T35" s="230">
        <f t="shared" si="5"/>
        <v>2</v>
      </c>
      <c r="U35" s="216">
        <f t="shared" si="6"/>
      </c>
      <c r="V35" s="217" t="s">
        <v>52</v>
      </c>
      <c r="X35" s="218" t="str">
        <f>IF(A35="new.cod","NEW.COD",IF(AND((Y35=""),ISTEXT(A35)),A35,IF(Y35="","",INDEX('[1]liste reference'!$A$7:$A$906,Y35))))</f>
        <v>GRO.DEN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348</v>
      </c>
      <c r="Z35" s="219"/>
      <c r="AA35" s="220"/>
      <c r="BB35" s="7">
        <f t="shared" si="7"/>
        <v>1</v>
      </c>
    </row>
    <row r="36" spans="1:54" ht="12.75">
      <c r="A36" s="221" t="s">
        <v>85</v>
      </c>
      <c r="B36" s="222"/>
      <c r="C36" s="223">
        <v>0.01</v>
      </c>
      <c r="D36" s="224" t="str">
        <f>IF(ISERROR(VLOOKUP($A36,'[1]liste reference'!$A$7:$D$906,2,0)),IF(ISERROR(VLOOKUP($A36,'[1]liste reference'!$B$7:$D$906,1,0)),"",VLOOKUP($A36,'[1]liste reference'!$B$7:$D$906,1,0)),VLOOKUP($A36,'[1]liste reference'!$A$7:$D$906,2,0))</f>
        <v>Equisetum palustre</v>
      </c>
      <c r="E36" s="224" t="e">
        <f>IF(D36="",,VLOOKUP(D36,D$22:D35,1,0))</f>
        <v>#N/A</v>
      </c>
      <c r="F36" s="234">
        <f t="shared" si="1"/>
        <v>0.01</v>
      </c>
      <c r="G36" s="226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PTE</v>
      </c>
      <c r="H36" s="208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6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  <v>10</v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  <v>1</v>
      </c>
      <c r="K36" s="228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Equisetum palustre</v>
      </c>
      <c r="L36" s="229"/>
      <c r="M36" s="229"/>
      <c r="N36" s="229"/>
      <c r="O36" s="213"/>
      <c r="P36" s="214">
        <f t="shared" si="2"/>
        <v>0.01</v>
      </c>
      <c r="Q36" s="215">
        <f t="shared" si="8"/>
        <v>1</v>
      </c>
      <c r="R36" s="215">
        <f t="shared" si="3"/>
        <v>10</v>
      </c>
      <c r="S36" s="215">
        <f t="shared" si="4"/>
        <v>10</v>
      </c>
      <c r="T36" s="230">
        <f t="shared" si="5"/>
        <v>1</v>
      </c>
      <c r="U36" s="216">
        <f t="shared" si="6"/>
      </c>
      <c r="V36" s="217" t="s">
        <v>52</v>
      </c>
      <c r="W36" s="217"/>
      <c r="X36" s="218" t="str">
        <f>IF(A36="new.cod","NEW.COD",IF(AND((Y36=""),ISTEXT(A36)),A36,IF(Y36="","",INDEX('[1]liste reference'!$A$7:$A$906,Y36))))</f>
        <v>EQU.PAL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282</v>
      </c>
      <c r="Z36" s="219"/>
      <c r="AA36" s="220"/>
      <c r="BB36" s="7">
        <f t="shared" si="7"/>
        <v>1</v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86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Coulon</v>
      </c>
      <c r="B84" s="255" t="str">
        <f>C3</f>
        <v>Oppede</v>
      </c>
      <c r="C84" s="256">
        <f>A4</f>
        <v>40016</v>
      </c>
      <c r="D84" s="257">
        <f>IF(ISERROR(SUM($S$23:$S$82)/SUM($T$23:$T$82)),"",SUM($S$23:$S$82)/SUM($T$23:$T$82))</f>
        <v>9.030303030303031</v>
      </c>
      <c r="E84" s="258">
        <f>N13</f>
        <v>14</v>
      </c>
      <c r="F84" s="255">
        <f>N14</f>
        <v>12</v>
      </c>
      <c r="G84" s="255">
        <f>N15</f>
        <v>6</v>
      </c>
      <c r="H84" s="255">
        <f>N16</f>
        <v>6</v>
      </c>
      <c r="I84" s="255">
        <f>N17</f>
        <v>0</v>
      </c>
      <c r="J84" s="259">
        <f>N8</f>
        <v>9.5</v>
      </c>
      <c r="K84" s="257">
        <f>N9</f>
        <v>1.9306145983268455</v>
      </c>
      <c r="L84" s="258">
        <f>N10</f>
        <v>6</v>
      </c>
      <c r="M84" s="258">
        <f>N11</f>
        <v>12</v>
      </c>
      <c r="N84" s="257">
        <f>O8</f>
        <v>1.5</v>
      </c>
      <c r="O84" s="257">
        <f>O9</f>
        <v>0.5222329678670935</v>
      </c>
      <c r="P84" s="258">
        <f>O10</f>
        <v>1</v>
      </c>
      <c r="Q84" s="258">
        <f>O11</f>
        <v>2</v>
      </c>
      <c r="R84" s="260">
        <f>F21</f>
        <v>12.569999999999999</v>
      </c>
      <c r="S84" s="258">
        <f>K11</f>
        <v>0</v>
      </c>
      <c r="T84" s="258">
        <f>K12</f>
        <v>4</v>
      </c>
      <c r="U84" s="258">
        <f>K13</f>
        <v>1</v>
      </c>
      <c r="V84" s="261">
        <f>K14</f>
        <v>1</v>
      </c>
      <c r="W84" s="262">
        <f>K15</f>
        <v>8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87</v>
      </c>
      <c r="Q86" s="7"/>
      <c r="R86" s="216"/>
      <c r="S86" s="7"/>
      <c r="T86" s="7"/>
      <c r="U86" s="7"/>
    </row>
    <row r="87" spans="16:21" ht="12.75" hidden="1">
      <c r="P87" s="7" t="s">
        <v>88</v>
      </c>
      <c r="Q87" s="7"/>
      <c r="R87" s="216">
        <f>VLOOKUP(MAX($R$23:$R$82),($R$23:$T$82),1,0)</f>
        <v>33</v>
      </c>
      <c r="S87" s="7"/>
      <c r="T87" s="7"/>
      <c r="U87" s="7"/>
    </row>
    <row r="88" spans="16:21" ht="12.75" hidden="1">
      <c r="P88" s="7" t="s">
        <v>89</v>
      </c>
      <c r="Q88" s="7"/>
      <c r="R88" s="216">
        <f>VLOOKUP((R87),($R$23:$T$82),2,0)</f>
        <v>66</v>
      </c>
      <c r="S88" s="7"/>
      <c r="T88" s="7"/>
      <c r="U88" s="7"/>
    </row>
    <row r="89" spans="16:19" ht="12.75" hidden="1">
      <c r="P89" s="7" t="s">
        <v>90</v>
      </c>
      <c r="Q89" s="7"/>
      <c r="R89" s="216">
        <f>VLOOKUP((R87),($R$23:$T$82),3,0)</f>
        <v>6</v>
      </c>
      <c r="S89" s="7"/>
    </row>
    <row r="90" spans="16:19" ht="12.75" hidden="1">
      <c r="P90" s="7" t="s">
        <v>91</v>
      </c>
      <c r="Q90" s="7"/>
      <c r="R90" s="265">
        <f>IF(ISERROR(SUM($S$23:$S$82)/SUM($T$23:$T$82)),"",(SUM($S$23:$S$82)-R88)/(SUM($T$23:$T$82)-R89))</f>
        <v>8.592592592592593</v>
      </c>
      <c r="S90" s="7"/>
    </row>
    <row r="91" spans="16:20" ht="12.75" hidden="1">
      <c r="P91" s="215" t="s">
        <v>92</v>
      </c>
      <c r="Q91" s="215"/>
      <c r="R91" s="215" t="str">
        <f>INDEX('[1]liste reference'!$A$7:$A$906,$S$91)</f>
        <v>VER.ANA</v>
      </c>
      <c r="S91" s="7">
        <f>IF(ISERROR(MATCH($R$93,'[1]liste reference'!$A$7:$A$906,0)),MATCH($R$93,'[1]liste reference'!$B$7:$B$906,0),(MATCH($R$93,'[1]liste reference'!$A$7:$A$906,0)))</f>
        <v>689</v>
      </c>
      <c r="T91" s="253"/>
    </row>
    <row r="92" spans="16:19" ht="12.75" hidden="1">
      <c r="P92" s="7" t="s">
        <v>93</v>
      </c>
      <c r="Q92" s="7"/>
      <c r="R92" s="7">
        <f>MATCH(R87,$R$23:$R$82,0)</f>
        <v>11</v>
      </c>
      <c r="S92" s="7"/>
    </row>
    <row r="93" spans="16:19" ht="12.75" hidden="1">
      <c r="P93" s="215" t="s">
        <v>94</v>
      </c>
      <c r="Q93" s="7"/>
      <c r="R93" s="215" t="str">
        <f>INDEX($A$23:$A$82,$R$92)</f>
        <v>VER.ANA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2013-10-22T13:34:48Z</dcterms:created>
  <dcterms:modified xsi:type="dcterms:W3CDTF">2013-10-22T13:35:01Z</dcterms:modified>
  <cp:category/>
  <cp:version/>
  <cp:contentType/>
  <cp:contentStatus/>
</cp:coreProperties>
</file>