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5540" sheetId="6" state="visible" r:id="rId8"/>
    <sheet name="jgjg" sheetId="7" state="hidden" r:id="rId9"/>
    <sheet name="liste codes réf" sheetId="8" state="hidden" r:id="rId10"/>
  </sheets>
  <definedNames>
    <definedName function="false" hidden="false" localSheetId="5" name="_xlnm.Print_Area" vbProcedure="false">'06175540'!$A$1:$Q$82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'06175540'!$A$1:$Q$82</definedName>
    <definedName function="false" hidden="false" localSheetId="5" name="_xlnm__FilterDatabase" vbProcedure="false">'06175540'!$A$1:$C$1415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<sst xmlns="http://schemas.openxmlformats.org/spreadsheetml/2006/main" count="8837" uniqueCount="3497">
  <si>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</si>
  <si>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</si>
  <si>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</si>
  <si>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</si>
  <si>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</si>
  <si>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</si>
  <si>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</si>
  <si>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</si>
  <si>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</si>
  <si>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</si>
  <si>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</si>
  <si>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</si>
  <si>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</si>
  <si>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</si>
  <si>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</si>
  <si>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</si>
  <si>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</si>
  <si>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</si>
  <si>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</si>
  <si>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</si>
  <si>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</si>
  <si>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</si>
  <si>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</si>
  <si>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</si>
  <si>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</si>
  <si>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</si>
  <si>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</si>
  <si>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</si>
  <si>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</si>
  <si>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</si>
  <si>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</si>
  <si>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</si>
  <si>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</si>
  <si>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</si>
  <si>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</si>
  <si>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</si>
  <si>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</si>
  <si>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</si>
  <si>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</si>
  <si>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</si>
  <si>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</si>
  <si>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</si>
  <si>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</si>
  <si>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</si>
  <si>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</si>
  <si>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</si>
  <si>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</si>
  <si>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</si>
  <si>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</si>
  <si>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</si>
  <si>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</si>
  <si>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</si>
  <si>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</si>
  <si>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</si>
  <si>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</si>
  <si>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</si>
  <si>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</si>
  <si>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</si>
  <si>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</si>
  <si>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</si>
  <si>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</si>
  <si>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</si>
  <si>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</si>
  <si>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</si>
  <si>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</si>
  <si>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</si>
  <si>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</si>
  <si>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</si>
  <si>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</si>
  <si>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</si>
  <si>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</si>
  <si>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</si>
  <si>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</si>
  <si>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</si>
  <si>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</si>
  <si>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</si>
  <si>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</si>
  <si>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</si>
  <si>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</si>
  <si>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</si>
  <si>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</si>
  <si>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</si>
  <si>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</si>
  <si>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</si>
  <si>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</si>
  <si>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</si>
  <si>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</si>
  <si>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</si>
  <si>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</si>
  <si>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</si>
  <si>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</si>
  <si>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</si>
  <si>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</si>
  <si>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</si>
  <si>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</si>
  <si>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</si>
  <si>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</si>
  <si>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</si>
  <si>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</si>
  <si>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</si>
  <si>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</si>
  <si>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</si>
  <si>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</si>
  <si>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</si>
  <si>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</si>
  <si>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</si>
  <si>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</si>
  <si>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</si>
  <si>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</si>
  <si>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</si>
  <si>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</si>
  <si>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</si>
  <si>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</si>
  <si>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</si>
  <si>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</si>
  <si>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</si>
  <si>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</si>
  <si>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</si>
  <si>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</si>
  <si>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</si>
  <si>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</si>
  <si>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</si>
  <si>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</si>
  <si>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</si>
  <si>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</si>
  <si>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</si>
  <si>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</si>
  <si>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</si>
  <si>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</si>
  <si>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</si>
  <si>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</si>
  <si>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</si>
  <si>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</si>
  <si>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</si>
  <si>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</si>
  <si>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</si>
  <si>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</si>
  <si>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</si>
  <si>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</si>
  <si>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</si>
  <si>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</si>
  <si>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</si>
  <si>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</si>
  <si>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</si>
  <si>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</si>
  <si>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</si>
  <si>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</si>
  <si>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</si>
  <si>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</si>
  <si>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</si>
  <si>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</si>
  <si>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</si>
  <si>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</si>
  <si>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</si>
  <si>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</si>
  <si>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</si>
  <si>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</si>
  <si>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</si>
  <si>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</si>
  <si>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</si>
  <si>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</si>
  <si>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</si>
  <si>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</si>
  <si>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</si>
  <si>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</si>
  <si>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</si>
  <si>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</si>
  <si>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</si>
  <si>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</si>
  <si>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</si>
  <si>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</si>
  <si>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</si>
  <si>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</si>
  <si>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</si>
  <si>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</si>
  <si>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</si>
  <si>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</si>
  <si>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</si>
  <si>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</si>
  <si>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</si>
  <si>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</si>
  <si>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</si>
  <si>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</si>
  <si>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</si>
  <si>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</si>
  <si>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</si>
  <si>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</si>
  <si>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</si>
  <si>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</si>
  <si>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</si>
  <si>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</si>
  <si>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</si>
  <si>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</si>
  <si>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</si>
  <si>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</si>
  <si>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</si>
  <si>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</si>
  <si>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</si>
  <si>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</si>
  <si>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</si>
  <si>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</si>
  <si>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</si>
  <si>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</si>
  <si>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</si>
  <si>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</si>
  <si>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</si>
  <si>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</si>
  <si>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</si>
  <si>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</si>
  <si>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</si>
  <si>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</si>
  <si>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</si>
  <si>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</si>
  <si>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</si>
  <si>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</si>
  <si>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</si>
  <si>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</si>
  <si>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</si>
  <si>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</si>
  <si>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</si>
  <si>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</si>
  <si>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</si>
  <si>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</si>
  <si>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</si>
  <si>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</si>
  <si>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</si>
  <si>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</si>
  <si>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</si>
  <si>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</si>
  <si>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</si>
  <si>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</si>
  <si>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</si>
  <si>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</si>
  <si>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</si>
  <si>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</si>
  <si>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</si>
  <si>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</si>
  <si>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</si>
  <si>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</si>
  <si>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</si>
  <si>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</si>
  <si>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</si>
  <si>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</si>
  <si>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</si>
  <si>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</si>
  <si>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</si>
  <si>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</si>
  <si>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</si>
  <si>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</si>
  <si>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</si>
  <si>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</si>
  <si>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</si>
  <si>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</si>
  <si>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</si>
  <si>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</si>
  <si>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</si>
  <si>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</si>
  <si>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</si>
  <si>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</si>
  <si>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</si>
  <si>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</si>
  <si>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</si>
  <si>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</si>
  <si>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</si>
  <si>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</si>
  <si>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</si>
  <si>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</si>
  <si>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</si>
  <si>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</si>
  <si>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</si>
  <si>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</si>
  <si>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</si>
  <si>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</si>
  <si>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</si>
  <si>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</si>
  <si>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</si>
  <si>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</si>
  <si>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</si>
  <si>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</si>
  <si>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</si>
  <si>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</si>
  <si>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</si>
  <si>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</si>
  <si>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</si>
  <si>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</si>
  <si>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</si>
  <si>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</si>
  <si>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</si>
  <si>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</si>
  <si>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</si>
  <si>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</si>
  <si>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</si>
  <si>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</si>
  <si>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</si>
  <si>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</si>
  <si>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</si>
  <si>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</si>
  <si>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</si>
  <si>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</si>
  <si>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</si>
  <si>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</si>
  <si>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</si>
  <si>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</si>
  <si>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</si>
  <si>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</si>
  <si>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</si>
  <si>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</si>
  <si>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</si>
  <si>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</si>
  <si>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</si>
  <si>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</si>
  <si>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</si>
  <si>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</si>
  <si>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</si>
  <si>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</si>
  <si>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</si>
  <si>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</si>
  <si>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</si>
  <si>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</si>
  <si>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</si>
  <si>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</si>
  <si>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</si>
  <si>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</si>
  <si>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</si>
  <si>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</si>
  <si>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</si>
  <si>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</si>
  <si>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</si>
  <si>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</si>
  <si>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</si>
  <si>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</si>
  <si>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</si>
  <si>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</si>
  <si>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</si>
  <si>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</si>
  <si>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</si>
  <si>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</si>
  <si>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</si>
  <si>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</si>
  <si>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</si>
  <si>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</si>
  <si>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</si>
  <si>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</si>
  <si>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</si>
  <si>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</si>
  <si>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</si>
  <si>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</si>
  <si>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</si>
  <si>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</si>
  <si>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</si>
  <si>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</si>
  <si>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</si>
  <si>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</si>
  <si>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</si>
  <si>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</si>
  <si>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</si>
  <si>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</si>
  <si>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</si>
  <si>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</si>
  <si>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</si>
  <si>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</si>
  <si>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</si>
  <si>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</si>
  <si>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</si>
  <si>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</si>
  <si>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</si>
  <si>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</si>
  <si>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</si>
  <si>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</si>
  <si>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</si>
  <si>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</si>
  <si>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</si>
  <si>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</si>
  <si>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</si>
  <si>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</si>
  <si>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</si>
  <si>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</si>
  <si>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</si>
  <si>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</si>
  <si>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</si>
  <si>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</si>
  <si>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</si>
  <si>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</si>
  <si>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</si>
  <si>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</si>
  <si>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</si>
  <si>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</si>
  <si>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</si>
  <si>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</si>
  <si>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</si>
  <si>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</si>
  <si>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</si>
  <si>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</si>
  <si>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</si>
  <si>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</si>
  <si>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</si>
  <si>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</si>
  <si>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</si>
  <si>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</si>
  <si>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</si>
  <si>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</si>
  <si>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</si>
  <si>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</si>
  <si>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</si>
  <si>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</si>
  <si>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</si>
  <si>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</si>
  <si>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</si>
  <si>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</si>
  <si>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</si>
  <si>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</si>
  <si>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</si>
  <si>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</si>
  <si>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</si>
  <si>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</si>
  <si>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</si>
  <si>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</si>
  <si>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</si>
  <si>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</si>
  <si>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</si>
  <si>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</si>
  <si>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</si>
  <si>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</si>
  <si>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</si>
  <si>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</si>
  <si>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</si>
  <si>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</si>
  <si>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</si>
  <si>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</si>
  <si>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</si>
  <si>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</si>
  <si>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</si>
  <si>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</si>
  <si>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</si>
  <si>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</si>
  <si>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</si>
  <si>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</si>
  <si>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</si>
  <si>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</si>
  <si>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</si>
  <si>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</si>
  <si>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</si>
  <si>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</si>
  <si>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</si>
  <si>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</si>
  <si>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</si>
  <si>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</si>
  <si>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</si>
  <si>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</si>
  <si>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</si>
  <si>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</si>
  <si>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</si>
  <si>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</si>
  <si>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</si>
  <si>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</si>
  <si>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</si>
  <si>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</si>
  <si>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</si>
  <si>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</si>
  <si>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</si>
  <si>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</si>
  <si>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</si>
  <si>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</si>
  <si>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</si>
  <si>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</si>
  <si>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</si>
  <si>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</si>
  <si>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</si>
  <si>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</si>
  <si>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</si>
  <si>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</si>
  <si>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</si>
  <si>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</si>
  <si>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</si>
  <si>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</si>
  <si>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</si>
  <si>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</si>
  <si>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</si>
  <si>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</si>
  <si>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</si>
  <si>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</si>
  <si>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</si>
  <si>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</si>
  <si>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</si>
  <si>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</si>
  <si>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</si>
  <si>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</si>
  <si>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</si>
  <si>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</si>
  <si>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</si>
  <si>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</si>
  <si>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</si>
  <si>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</si>
  <si>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</si>
  <si>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</si>
  <si>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</si>
  <si>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</si>
  <si>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</si>
  <si>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</si>
  <si>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</si>
  <si>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</si>
  <si>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</si>
  <si>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</si>
  <si>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</si>
  <si>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</si>
  <si>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</si>
  <si>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</si>
  <si>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</si>
  <si>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</si>
  <si>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</si>
  <si>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</si>
  <si>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</si>
  <si>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</si>
  <si>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</si>
  <si>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</si>
  <si>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</si>
  <si>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</si>
  <si>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</si>
  <si>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</si>
  <si>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</si>
  <si>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</si>
  <si>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</si>
  <si>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</si>
  <si>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</si>
  <si>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</si>
  <si>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</si>
  <si>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</si>
  <si>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</si>
  <si>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</si>
  <si>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</si>
  <si>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</si>
  <si>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</si>
  <si>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</si>
  <si>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</si>
  <si>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</si>
  <si>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</si>
  <si>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</si>
  <si>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</si>
  <si>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</si>
  <si>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</si>
  <si>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</si>
  <si>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</si>
  <si>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</si>
  <si>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</si>
  <si>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</si>
  <si>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</si>
  <si>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</si>
  <si>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</si>
  <si>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</si>
  <si>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</si>
  <si>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</si>
  <si>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</si>
  <si>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</si>
  <si>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</si>
  <si>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</si>
  <si>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</si>
  <si>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</si>
  <si>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</si>
  <si>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</si>
  <si>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</si>
  <si>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</si>
  <si>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</si>
  <si>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</si>
  <si>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</si>
  <si>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</si>
  <si>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</si>
  <si>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</si>
  <si>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</si>
  <si>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</si>
  <si>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</si>
  <si>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</si>
  <si>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</si>
  <si>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</si>
  <si>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</si>
  <si>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</si>
  <si>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</si>
  <si>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</si>
  <si>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</si>
  <si>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</si>
  <si>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</si>
  <si>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</si>
  <si>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</si>
  <si>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</si>
  <si>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</si>
  <si>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</si>
  <si>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</si>
  <si>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</si>
  <si>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</si>
  <si>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</si>
  <si>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</si>
  <si>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</si>
  <si>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</si>
  <si>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</si>
  <si>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</si>
  <si>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</si>
  <si>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</si>
  <si>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</si>
  <si>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</si>
  <si>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</si>
  <si>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</si>
  <si>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</si>
  <si>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</si>
  <si>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</si>
  <si>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</si>
  <si>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</si>
  <si>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</si>
  <si>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</si>
  <si>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</si>
  <si>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</si>
  <si>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</si>
  <si>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</si>
  <si>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</si>
  <si>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</si>
  <si>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</si>
  <si>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</si>
  <si>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</si>
  <si>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</si>
  <si>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</si>
  <si>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</si>
  <si>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</si>
  <si>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</si>
  <si>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</si>
  <si>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</si>
  <si>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</si>
  <si>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</si>
  <si>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</si>
  <si>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</si>
  <si>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</si>
  <si>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</si>
  <si>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</si>
  <si>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</si>
  <si>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</si>
  <si>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</si>
  <si>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</si>
  <si>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</si>
  <si>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</si>
  <si>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</si>
  <si>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</si>
  <si>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</si>
  <si>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</si>
  <si>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</si>
  <si>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</si>
  <si>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</si>
  <si>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</si>
  <si>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</si>
  <si>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</si>
  <si>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</si>
  <si>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</si>
  <si>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</si>
  <si>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</si>
  <si>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</si>
  <si>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</si>
  <si>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</si>
  <si>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</si>
  <si>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</si>
  <si>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</si>
  <si>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</si>
  <si>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</si>
  <si>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</si>
  <si>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</si>
  <si>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</si>
  <si>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</si>
  <si>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</si>
  <si>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</si>
  <si>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</si>
  <si>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</si>
  <si>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</si>
  <si>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</si>
  <si>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</si>
  <si>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</si>
  <si>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</si>
  <si>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</si>
  <si>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</si>
  <si>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</si>
  <si>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</si>
  <si>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</si>
  <si>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</si>
  <si>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</si>
  <si>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</si>
  <si>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</si>
  <si>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</si>
  <si>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</si>
  <si>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</si>
  <si>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</si>
  <si>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</si>
  <si>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</si>
  <si>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</si>
  <si>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</si>
  <si>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</si>
  <si>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</si>
  <si>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</si>
  <si>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</si>
  <si>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</si>
  <si>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</si>
  <si>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</si>
  <si>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</si>
  <si>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</si>
  <si>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</si>
  <si>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</si>
  <si>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</si>
  <si>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</si>
  <si>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</si>
  <si>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</si>
  <si>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</si>
  <si>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</si>
  <si>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</si>
  <si>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</si>
  <si>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</si>
  <si>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</si>
  <si>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</si>
  <si>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</si>
  <si>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</si>
  <si>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</si>
  <si>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</si>
  <si>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</si>
  <si>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</si>
  <si>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</si>
  <si>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</si>
  <si>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</si>
  <si>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</si>
  <si>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</si>
  <si>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</si>
  <si>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</si>
  <si>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</si>
  <si>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</si>
  <si>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</si>
  <si>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</si>
  <si>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</si>
  <si>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</si>
  <si>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</si>
  <si>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</si>
  <si>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</si>
  <si>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</si>
  <si>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</si>
  <si>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</si>
  <si>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</si>
  <si>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</si>
  <si>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</si>
  <si>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</si>
  <si>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</si>
  <si>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</si>
  <si>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</si>
  <si>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</si>
  <si>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</si>
  <si>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</si>
  <si>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</si>
  <si>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</si>
  <si>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</si>
  <si>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</si>
  <si>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</si>
  <si>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</si>
  <si>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</si>
  <si>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</si>
  <si>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</si>
  <si>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</si>
  <si>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</si>
  <si>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</si>
  <si>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</si>
  <si>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</si>
  <si>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</si>
  <si>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</si>
  <si>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</si>
  <si>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</si>
  <si>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</si>
  <si>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</si>
  <si>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</si>
  <si>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</si>
  <si>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</si>
  <si>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</si>
  <si>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</si>
  <si>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</si>
  <si>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</si>
  <si>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</si>
  <si>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</si>
  <si>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</si>
  <si>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</si>
  <si>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</si>
  <si>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</si>
  <si>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</si>
  <si>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</si>
  <si>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</si>
  <si>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</si>
  <si>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</si>
  <si>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</si>
  <si>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</si>
  <si>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</si>
  <si>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</si>
  <si>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</si>
  <si>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</si>
  <si>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</si>
  <si>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</si>
  <si>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</si>
  <si>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</si>
  <si>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</si>
  <si>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</si>
  <si>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</si>
  <si>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</si>
  <si>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</si>
  <si>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</si>
  <si>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</si>
  <si>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</si>
  <si>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</si>
  <si>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</si>
  <si>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</si>
  <si>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</si>
  <si>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</si>
  <si>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</si>
  <si>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</si>
  <si>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</si>
  <si>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</si>
  <si>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</si>
  <si>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</si>
  <si>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</si>
  <si>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</si>
  <si>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</si>
  <si>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</si>
  <si>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</si>
  <si>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</si>
  <si>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</si>
  <si>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</si>
  <si>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</si>
  <si>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</si>
  <si>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</si>
  <si>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</si>
  <si>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</si>
  <si>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</si>
  <si>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</si>
  <si>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</si>
  <si>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</si>
  <si>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</si>
  <si>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</si>
  <si>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</si>
  <si>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</si>
  <si>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</si>
  <si>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</si>
  <si>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</si>
  <si>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</si>
  <si>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</si>
  <si>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</si>
  <si>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</si>
  <si>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</si>
  <si>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</si>
  <si>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</si>
  <si>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</si>
  <si>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</si>
  <si>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</si>
  <si>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</si>
  <si>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</si>
  <si>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</si>
  <si>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</si>
  <si>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</si>
  <si>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</si>
  <si>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</si>
  <si>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</si>
  <si>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</si>
  <si>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</si>
  <si>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</si>
  <si>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</si>
  <si>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</si>
  <si>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</si>
  <si>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</si>
  <si>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</si>
  <si>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</si>
  <si>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</si>
  <si>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</si>
  <si>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</si>
  <si>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</si>
  <si>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</si>
  <si>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</si>
  <si>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</si>
  <si>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</si>
  <si>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</si>
  <si>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</si>
  <si>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</si>
  <si>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</si>
  <si>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</si>
  <si>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</si>
  <si>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</si>
  <si>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</si>
  <si>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</si>
  <si>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</si>
  <si>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</si>
  <si>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</si>
  <si>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</si>
  <si>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</si>
  <si>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</si>
  <si>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</si>
  <si>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</si>
  <si>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</si>
  <si>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</si>
  <si>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</si>
  <si>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</si>
  <si>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</si>
  <si>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</si>
  <si>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</si>
  <si>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</si>
  <si>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</si>
  <si>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</si>
  <si>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</si>
  <si>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</si>
  <si>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</si>
  <si>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</si>
  <si>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</si>
  <si>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</si>
  <si>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</si>
  <si>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</si>
  <si>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</si>
  <si>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</si>
  <si>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</si>
  <si>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</si>
  <si>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</si>
  <si>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</si>
  <si>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</si>
  <si>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</si>
  <si>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</si>
  <si>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</si>
  <si>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</si>
  <si>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</si>
  <si>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</si>
  <si>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</si>
  <si>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</si>
  <si>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</si>
  <si>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</si>
  <si>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</si>
  <si>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</si>
  <si>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</si>
  <si>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</si>
  <si>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</si>
  <si>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</si>
  <si>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</si>
  <si>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</si>
  <si>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</si>
  <si>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</si>
  <si>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</si>
  <si>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</si>
  <si>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</si>
  <si>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</si>
  <si>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</si>
  <si>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</si>
  <si>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</si>
  <si>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</si>
  <si>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</si>
  <si>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</si>
  <si>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</si>
  <si>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</si>
  <si>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</si>
  <si>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</si>
  <si>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</si>
  <si>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</si>
  <si>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</si>
  <si>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</si>
  <si>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</si>
  <si>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</si>
  <si>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</si>
  <si>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</si>
  <si>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</si>
  <si>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</si>
  <si>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</si>
  <si>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</si>
  <si>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</si>
  <si>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</si>
  <si>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</si>
  <si>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</si>
  <si>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</si>
  <si>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</si>
  <si>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</si>
  <si>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</si>
  <si>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</si>
  <si>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</si>
  <si>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</si>
  <si>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</si>
  <si>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</si>
  <si>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</si>
  <si>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</si>
  <si>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</si>
  <si>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</si>
  <si>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</si>
  <si>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</si>
  <si>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</si>
  <si>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</si>
  <si>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</si>
  <si>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</si>
  <si>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</si>
  <si>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</si>
  <si>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</si>
  <si>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</si>
  <si>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</si>
  <si>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</si>
  <si>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</si>
  <si>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</si>
  <si>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</si>
  <si>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</si>
  <si>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</si>
  <si>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</si>
  <si>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</si>
  <si>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</si>
  <si>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</si>
  <si>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</si>
  <si>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</si>
  <si>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</si>
  <si>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</si>
  <si>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</si>
  <si>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</si>
  <si>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</si>
  <si>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</si>
  <si>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</si>
  <si>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</si>
  <si>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</si>
  <si>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</si>
  <si>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</si>
  <si>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</si>
  <si>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</si>
  <si>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</si>
  <si>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</si>
  <si>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</si>
  <si>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</si>
  <si>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</si>
  <si>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</si>
  <si>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</si>
  <si>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</si>
  <si>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</si>
  <si>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</si>
  <si>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</si>
  <si>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</si>
  <si>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</si>
  <si>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</si>
  <si>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</si>
  <si>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</si>
  <si>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</si>
  <si>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</si>
  <si>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</si>
  <si>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</si>
  <si>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</si>
  <si>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</si>
  <si>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</si>
  <si>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</si>
  <si>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</si>
  <si>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</si>
  <si>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</si>
  <si>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</si>
  <si>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</si>
  <si>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</si>
  <si>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</si>
  <si>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</si>
  <si>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</si>
  <si>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</si>
  <si>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</si>
  <si>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</si>
  <si>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</si>
  <si>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</si>
  <si>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</si>
  <si>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</si>
  <si>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</si>
  <si>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</si>
  <si>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</si>
  <si>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</si>
  <si>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</si>
  <si>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</si>
  <si>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</si>
  <si>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</si>
  <si>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</si>
  <si>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</si>
  <si>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</si>
  <si>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</si>
  <si>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</si>
  <si>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</si>
  <si>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</si>
  <si>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</si>
  <si>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</si>
  <si>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</si>
  <si>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</si>
  <si>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</si>
  <si>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</si>
  <si>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</si>
  <si>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</si>
  <si>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</si>
  <si>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</si>
  <si>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</si>
  <si>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</si>
  <si>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</si>
  <si>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</si>
  <si>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</si>
  <si>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</si>
  <si>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</si>
  <si>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</si>
  <si>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</si>
  <si>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</si>
  <si>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</si>
  <si>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</si>
  <si>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</si>
  <si>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</si>
  <si>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</si>
  <si>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</si>
  <si>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</si>
  <si>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</si>
  <si>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</si>
  <si>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</si>
  <si>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</si>
  <si>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</si>
  <si>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</si>
  <si>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</si>
  <si>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</si>
  <si>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</si>
  <si>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</si>
  <si>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</si>
  <si>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</si>
  <si>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</si>
  <si>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</si>
  <si>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</si>
  <si>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</si>
  <si>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</si>
  <si>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</si>
  <si>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</si>
  <si>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</si>
  <si>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</si>
  <si>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</si>
  <si>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</si>
  <si>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</si>
  <si>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</si>
  <si>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</si>
  <si>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</si>
  <si>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</si>
  <si>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</si>
  <si>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</si>
  <si>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</si>
  <si>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</si>
  <si>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</si>
  <si>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</si>
  <si>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</si>
  <si>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</si>
  <si>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</si>
  <si>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</si>
  <si>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</si>
  <si>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</si>
  <si>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</si>
  <si>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</si>
  <si>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</si>
  <si>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</si>
  <si>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</si>
  <si>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</si>
  <si>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</si>
  <si>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</si>
  <si>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</si>
  <si>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</si>
  <si>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</si>
  <si>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</si>
  <si>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</si>
  <si>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</si>
  <si>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</si>
  <si>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</si>
  <si>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</si>
  <si>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</si>
  <si>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</si>
  <si>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</si>
  <si>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</si>
  <si>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</si>
  <si>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</si>
  <si>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</si>
  <si>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</si>
  <si>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</si>
  <si>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</si>
  <si>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</si>
  <si>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</si>
  <si>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</si>
  <si>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</si>
  <si>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</si>
  <si>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</si>
  <si>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</si>
  <si>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</si>
  <si>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</si>
  <si>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</si>
  <si>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</si>
  <si>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</si>
  <si>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</si>
  <si>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</si>
  <si>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</si>
  <si>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</si>
  <si>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</si>
  <si>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</si>
  <si>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</si>
  <si>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</si>
  <si>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</si>
  <si>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</si>
  <si>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</si>
  <si>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</si>
  <si>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</si>
  <si>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</si>
  <si>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</si>
  <si>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</si>
  <si>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</si>
  <si>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</si>
  <si>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</si>
  <si>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</si>
  <si>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</si>
  <si>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</si>
  <si>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</si>
  <si>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</si>
  <si>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</si>
  <si>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</si>
  <si>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</si>
  <si>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</si>
  <si>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</si>
  <si>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</si>
  <si>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</si>
  <si>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</si>
  <si>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</si>
  <si>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</si>
  <si>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</si>
  <si>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</si>
  <si>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</si>
  <si>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</si>
  <si>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</si>
  <si>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</si>
  <si>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</si>
  <si>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</si>
  <si>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</si>
  <si>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</si>
  <si>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</si>
  <si>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</si>
  <si>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</si>
  <si>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</si>
  <si>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</si>
  <si>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</si>
  <si>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</si>
  <si>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</si>
  <si>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</si>
  <si>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</si>
  <si>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</si>
  <si>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</si>
  <si>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</si>
  <si>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</si>
  <si>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</si>
  <si>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</si>
  <si>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</si>
  <si>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</si>
  <si>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</si>
  <si>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</si>
  <si>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</si>
  <si>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</si>
  <si>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</si>
  <si>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</si>
  <si>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</si>
  <si>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</si>
  <si>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</si>
  <si>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</si>
  <si>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</si>
  <si>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</si>
  <si>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</si>
  <si>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</si>
  <si>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</si>
  <si>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</si>
  <si>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</si>
  <si>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</si>
  <si>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</si>
  <si>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</si>
  <si>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</si>
  <si>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</si>
  <si>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</si>
  <si>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</si>
  <si>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</si>
  <si>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</si>
  <si>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</si>
  <si>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</si>
  <si>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</si>
  <si>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</si>
  <si>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</si>
  <si>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</si>
  <si>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</si>
  <si>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</si>
  <si>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</si>
  <si>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</si>
  <si>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</si>
  <si>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</si>
  <si>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</si>
  <si>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</si>
  <si>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</si>
  <si>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</si>
  <si>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</si>
  <si>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</si>
  <si>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</si>
  <si>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</si>
  <si>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</si>
  <si>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</si>
  <si>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</si>
  <si>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</si>
  <si>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</si>
  <si>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</si>
  <si>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</si>
  <si>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</si>
  <si>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</si>
  <si>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</si>
  <si>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</si>
  <si>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</si>
  <si>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</si>
  <si>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</si>
  <si>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</si>
  <si>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</si>
  <si>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</si>
  <si>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</si>
  <si>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</si>
  <si>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</si>
  <si>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</si>
  <si>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</si>
  <si>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</si>
  <si>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</si>
  <si>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</si>
  <si>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</si>
  <si>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</si>
  <si>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</si>
  <si>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</si>
  <si>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</si>
  <si>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</si>
  <si>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</si>
  <si>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</si>
  <si>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</si>
  <si>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</si>
  <si>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</si>
  <si>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</si>
  <si>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</si>
  <si>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</si>
  <si>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</si>
  <si>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</si>
  <si>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</si>
  <si>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</si>
  <si>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</si>
  <si>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</si>
  <si>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</si>
  <si>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</si>
  <si>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</si>
  <si>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</si>
  <si>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</si>
  <si>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</si>
  <si>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</si>
  <si>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</si>
  <si>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</si>
  <si>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</si>
  <si>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</si>
  <si>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</si>
  <si>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</si>
  <si>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</si>
  <si>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</si>
  <si>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</si>
  <si>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</si>
  <si>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</si>
  <si>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</si>
  <si>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</si>
  <si>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</si>
  <si>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</si>
  <si>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</si>
  <si>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</si>
  <si>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</si>
  <si>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</si>
  <si>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</si>
  <si>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</si>
  <si>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</si>
  <si>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</si>
  <si>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</si>
  <si>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</si>
  <si>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</si>
  <si>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</si>
  <si>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</si>
  <si>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</si>
  <si>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</si>
  <si>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</si>
  <si>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</si>
  <si>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</si>
  <si>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</si>
  <si>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</si>
  <si>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</si>
  <si>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</si>
  <si>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</si>
  <si>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</si>
  <si>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</si>
  <si>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</si>
  <si>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</si>
  <si>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</si>
  <si>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</si>
  <si>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</si>
  <si>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</si>
  <si>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</si>
  <si>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</si>
  <si>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</si>
  <si>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</si>
  <si>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</si>
  <si>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</si>
  <si>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</si>
  <si>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</si>
  <si>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</si>
  <si>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</si>
  <si>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</si>
  <si>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</si>
  <si>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</si>
  <si>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</si>
  <si>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</si>
  <si>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</si>
  <si>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</si>
  <si>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</si>
  <si>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</si>
  <si>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</si>
  <si>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</si>
  <si>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</si>
  <si>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</si>
  <si>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</si>
  <si>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</si>
  <si>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</si>
  <si>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</si>
  <si>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</si>
  <si>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</si>
  <si>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</si>
  <si>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</si>
  <si>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</si>
  <si>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</si>
  <si>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</si>
  <si>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</si>
  <si>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</si>
  <si>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</si>
  <si>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</si>
  <si>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</si>
  <si>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</si>
  <si>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</si>
  <si>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</si>
  <si>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</si>
  <si>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</si>
  <si>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</si>
  <si>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</si>
  <si>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</si>
  <si>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</si>
  <si>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</si>
  <si>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</si>
  <si>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</si>
  <si>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</si>
  <si>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</si>
  <si>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</si>
  <si>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</si>
  <si>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</si>
  <si>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</si>
  <si>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</si>
  <si>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</si>
  <si>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</si>
  <si>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</si>
  <si>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</si>
  <si>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</si>
  <si>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</si>
  <si>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</si>
  <si>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</si>
  <si>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</si>
  <si>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</si>
  <si>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</si>
  <si>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</si>
  <si>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</si>
  <si>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</si>
  <si>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</si>
  <si>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</si>
  <si>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</si>
  <si>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</si>
  <si>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</si>
  <si>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</si>
  <si>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</si>
  <si>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</si>
  <si>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</si>
  <si>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</si>
  <si>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</si>
  <si>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</si>
  <si>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</si>
  <si>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</si>
  <si>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</si>
  <si>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</si>
  <si>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</si>
  <si>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</si>
  <si>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</si>
  <si>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</si>
  <si>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</si>
  <si>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</si>
  <si>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</si>
  <si>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</si>
  <si>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</si>
  <si>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</si>
  <si>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</si>
  <si>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</si>
  <si>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</si>
  <si>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</si>
  <si>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</si>
  <si>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</si>
  <si>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</si>
  <si>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</si>
  <si>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</si>
  <si>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</si>
  <si>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</si>
  <si>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</si>
  <si>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</si>
  <si>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</si>
  <si>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</si>
  <si>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</si>
  <si>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</si>
  <si>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</si>
  <si>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</si>
  <si>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</si>
  <si>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</si>
  <si>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</si>
  <si>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</si>
  <si>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</si>
  <si>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</si>
  <si>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</si>
  <si>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</si>
  <si>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</si>
  <si>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</si>
  <si>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</si>
  <si>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</si>
  <si>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</si>
  <si>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</si>
  <si>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</si>
  <si>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</si>
  <si>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</si>
  <si>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</si>
  <si>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</si>
  <si>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</si>
  <si>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</si>
  <si>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</si>
  <si>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</si>
  <si>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</si>
  <si>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</si>
  <si>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</si>
  <si>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</si>
  <si>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</si>
  <si>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</si>
  <si>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</si>
  <si>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</si>
  <si>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</si>
  <si>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</si>
  <si>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</si>
  <si>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</si>
  <si>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</si>
  <si>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</si>
  <si>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</si>
  <si>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</si>
  <si>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</si>
  <si>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</si>
  <si>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</si>
  <si>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</si>
  <si>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</si>
  <si>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</si>
  <si>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</si>
  <si>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</si>
  <si>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</si>
  <si>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</si>
  <si>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</si>
  <si>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</si>
  <si>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</si>
  <si>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</si>
  <si>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</si>
  <si>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</si>
  <si>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</si>
  <si>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</si>
  <si>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</si>
  <si>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</si>
  <si>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</si>
  <si>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</si>
  <si>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</si>
  <si>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</si>
  <si>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</si>
  <si>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</si>
  <si>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</si>
  <si>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</si>
  <si>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</si>
  <si>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</si>
  <si>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</si>
  <si>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</si>
  <si>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</si>
  <si>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</si>
  <si>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</si>
  <si>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</si>
  <si>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</si>
  <si>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</si>
  <si>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</si>
  <si>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</si>
  <si>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</si>
  <si>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</si>
  <si>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</si>
  <si>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</si>
  <si>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</si>
  <si>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</si>
  <si>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</si>
  <si>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</si>
  <si>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</si>
  <si>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</si>
  <si>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</si>
  <si>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</si>
  <si>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</si>
  <si>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</si>
  <si>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</si>
  <si>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</si>
  <si>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</si>
  <si>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</si>
  <si>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</si>
  <si>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</si>
  <si>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</si>
  <si>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</si>
  <si>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</si>
  <si>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</si>
  <si>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</si>
  <si>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</si>
  <si>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</si>
  <si>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</si>
  <si>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</si>
  <si>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</si>
  <si>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</si>
  <si>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</si>
  <si>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</si>
  <si>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</si>
  <si>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</si>
  <si>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</si>
  <si>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</si>
  <si>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</si>
  <si>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</si>
  <si>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</si>
  <si>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</si>
  <si>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</si>
  <si>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</si>
  <si>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</si>
  <si>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</si>
  <si>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</si>
  <si>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</si>
  <si>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</si>
  <si>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</si>
  <si>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</si>
  <si>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</si>
  <si>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</si>
  <si>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</si>
  <si>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</si>
  <si>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</si>
  <si>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</si>
  <si>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</si>
  <si>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</si>
  <si>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</si>
  <si>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</si>
  <si>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</si>
  <si>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</si>
  <si>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</si>
  <si>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</si>
  <si>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</si>
  <si>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</si>
  <si>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</si>
  <si>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</si>
  <si>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</si>
  <si>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</si>
  <si>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</si>
  <si>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</si>
  <si>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</si>
  <si>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</si>
  <si>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</si>
  <si>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</si>
  <si>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</si>
  <si>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</si>
  <si>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</si>
  <si>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</si>
  <si>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</si>
  <si>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</si>
  <si>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</si>
  <si>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</si>
  <si>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</si>
  <si>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</si>
  <si>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</si>
  <si>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</si>
  <si>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</si>
  <si>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</si>
  <si>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</si>
  <si>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</si>
  <si>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</si>
  <si>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</si>
  <si>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</si>
  <si>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</si>
  <si>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</si>
  <si>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</si>
  <si>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</si>
  <si>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</si>
  <si>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</si>
  <si>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</si>
  <si>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</si>
  <si>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</si>
  <si>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</si>
  <si>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</si>
  <si>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</si>
  <si>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</si>
  <si>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</si>
  <si>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</si>
  <si>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</si>
  <si>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</si>
  <si>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</si>
  <si>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</si>
  <si>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</si>
  <si>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</si>
  <si>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</si>
  <si>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</si>
  <si>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</si>
  <si>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</si>
  <si>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</si>
  <si>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</si>
  <si>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</si>
  <si>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</si>
  <si>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</si>
  <si>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</si>
  <si>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</si>
  <si>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</si>
  <si>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</si>
  <si>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</si>
  <si>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</si>
  <si>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</si>
  <si>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</si>
  <si>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</si>
  <si>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</si>
  <si>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</si>
  <si>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</si>
  <si>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</si>
  <si>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</si>
  <si>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</si>
  <si>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</si>
  <si>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</si>
  <si>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</si>
  <si>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</si>
  <si>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</si>
  <si>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</si>
  <si>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</si>
  <si>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</si>
  <si>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</si>
  <si>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</si>
  <si>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</si>
  <si>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</si>
  <si>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</si>
  <si>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</si>
  <si>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</si>
  <si>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</si>
  <si>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</si>
  <si>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</si>
  <si>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</si>
  <si>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</si>
  <si>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</si>
  <si>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</si>
  <si>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</si>
  <si>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</si>
  <si>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</si>
  <si>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</si>
  <si>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</si>
  <si>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</si>
  <si>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</si>
  <si>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</si>
  <si>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</si>
  <si>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</si>
  <si>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</si>
  <si>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</si>
  <si>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</si>
  <si>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</si>
  <si>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</si>
  <si>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</si>
  <si>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</si>
  <si>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</si>
  <si>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</si>
  <si>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</si>
  <si>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</si>
  <si>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</si>
  <si>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</si>
  <si>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</si>
  <si>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</si>
  <si>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</si>
  <si>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</si>
  <si>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</si>
  <si>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</si>
  <si>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</si>
  <si>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</si>
  <si>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</si>
  <si>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</si>
  <si>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</si>
  <si>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</si>
  <si>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</si>
  <si>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</si>
  <si>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</si>
  <si>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</si>
  <si>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</si>
  <si>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</si>
  <si>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</si>
  <si>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</si>
  <si>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</si>
  <si>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</si>
  <si>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</si>
  <si>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</si>
  <si>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</si>
  <si>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</si>
  <si>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</si>
  <si>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</si>
  <si>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</si>
  <si>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</si>
  <si>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</si>
  <si>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</si>
  <si>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</si>
  <si>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</si>
  <si>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</si>
  <si>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</si>
  <si>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</si>
  <si>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</si>
  <si>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</si>
  <si>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</si>
  <si>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</si>
  <si>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</si>
  <si>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</si>
  <si>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</si>
  <si>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</si>
  <si>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</si>
  <si>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</si>
  <si>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</si>
  <si>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</si>
  <si>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</si>
  <si>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</si>
  <si>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</si>
  <si>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</si>
  <si>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</si>
  <si>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</si>
  <si>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</si>
  <si>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</si>
  <si>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</si>
  <si>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</si>
  <si>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</si>
  <si>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</si>
  <si>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</si>
  <si>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</si>
  <si>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</si>
  <si>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</si>
  <si>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</si>
  <si>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</si>
  <si>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</si>
  <si>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</si>
  <si>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</si>
  <si>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</si>
  <si>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</si>
  <si>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</si>
  <si>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</si>
  <si>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</si>
  <si>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</si>
  <si>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</si>
  <si>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</si>
  <si>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</si>
  <si>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</si>
  <si>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</si>
  <si>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</si>
  <si>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</si>
  <si>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</si>
  <si>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</si>
  <si>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</si>
  <si>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</si>
  <si>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</si>
  <si>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</si>
  <si>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</si>
  <si>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</si>
  <si>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</si>
  <si>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</si>
  <si>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</si>
  <si>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</si>
  <si>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</si>
  <si>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</si>
  <si>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</si>
  <si>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</si>
  <si>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</si>
  <si>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</si>
  <si>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</si>
  <si>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</si>
  <si>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</si>
  <si>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</si>
  <si>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</si>
  <si>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</si>
  <si>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</si>
  <si>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</si>
  <si>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</si>
  <si>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</si>
  <si>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</si>
  <si>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</si>
  <si>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</si>
  <si>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</si>
  <si>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</si>
  <si>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</si>
  <si>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</si>
  <si>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</si>
  <si>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</si>
  <si>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</si>
  <si>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</si>
  <si>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</si>
  <si>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</si>
  <si>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</si>
  <si>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</si>
  <si>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</si>
  <si>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</si>
  <si>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</si>
  <si>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</si>
  <si>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</si>
  <si>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</si>
  <si>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</si>
  <si>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</si>
  <si>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</si>
  <si>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</si>
  <si>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</si>
  <si>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</si>
  <si>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</si>
  <si>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</si>
  <si>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</si>
  <si>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</si>
  <si>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</si>
  <si>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</si>
  <si>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</si>
  <si>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</si>
  <si>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</si>
  <si>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</si>
  <si>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</si>
  <si>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</si>
  <si>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</si>
  <si>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</si>
  <si>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</si>
  <si>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</si>
  <si>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</si>
  <si>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</si>
  <si>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</si>
  <si>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</si>
  <si>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</si>
  <si>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</si>
  <si>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</si>
  <si>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</si>
  <si>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</si>
  <si>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</si>
  <si>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</si>
  <si>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</si>
  <si>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</si>
  <si>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</si>
  <si>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</si>
  <si>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</si>
  <si>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</si>
  <si>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</si>
  <si>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</si>
  <si>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</si>
  <si>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</si>
  <si>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</si>
  <si>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</si>
  <si>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</si>
  <si>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</si>
  <si>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</si>
  <si>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</si>
  <si>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</si>
  <si>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</si>
  <si>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</si>
  <si>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</si>
  <si>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</si>
  <si>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</si>
  <si>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</si>
  <si>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</si>
  <si>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</si>
  <si>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</si>
  <si>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</si>
  <si>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</si>
  <si>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</si>
  <si>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</si>
  <si>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</si>
  <si>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</si>
  <si>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</si>
  <si>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</si>
  <si>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</si>
  <si>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</si>
  <si>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</si>
  <si>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</si>
  <si>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</si>
  <si>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</si>
  <si>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</si>
  <si>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</si>
  <si>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</si>
  <si>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</si>
  <si>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</si>
  <si>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</si>
  <si>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</si>
  <si>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</si>
  <si>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</si>
  <si>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</si>
  <si>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</si>
  <si>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</si>
  <si>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</si>
  <si>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</si>
  <si>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</si>
  <si>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</si>
  <si>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</si>
  <si>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</si>
  <si>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</si>
  <si>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</si>
  <si>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</si>
  <si>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</si>
  <si>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</si>
  <si>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</si>
  <si>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</si>
  <si>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</si>
  <si>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</si>
  <si>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</si>
  <si>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</si>
  <si>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</si>
  <si>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</si>
  <si>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</si>
  <si>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</si>
  <si>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</si>
  <si>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</si>
  <si>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</si>
  <si>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</si>
  <si>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</si>
  <si>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</si>
  <si>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</si>
  <si>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</si>
  <si>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</si>
  <si>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</si>
  <si>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</si>
  <si>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</si>
  <si>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</si>
  <si>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</si>
  <si>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</si>
  <si>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</si>
  <si>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</si>
  <si>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</si>
  <si>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</si>
  <si>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</si>
  <si>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</si>
  <si>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</si>
  <si>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</si>
  <si>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</si>
  <si>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</si>
  <si>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</si>
  <si>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</si>
  <si>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</si>
  <si>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</si>
  <si>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</si>
  <si>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</si>
  <si>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</si>
  <si>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</si>
  <si>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</si>
  <si>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</si>
  <si>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</si>
  <si>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</si>
  <si>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</si>
  <si>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</si>
  <si>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</si>
  <si>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</si>
  <si>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</si>
  <si>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</si>
  <si>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</si>
  <si>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</si>
  <si>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</si>
  <si>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</si>
  <si>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</si>
  <si>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</si>
  <si>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</si>
  <si>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</si>
  <si>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</si>
  <si>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</si>
  <si>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</si>
  <si>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</si>
  <si>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</si>
  <si>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</si>
  <si>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</si>
  <si>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</si>
  <si>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</si>
  <si>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</si>
  <si>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</si>
  <si>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</si>
  <si>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</si>
  <si>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</si>
  <si>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</si>
  <si>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</si>
  <si>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</si>
  <si>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</si>
  <si>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</si>
  <si>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</si>
  <si>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</si>
  <si>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</si>
  <si>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</si>
  <si>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</si>
  <si>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</si>
  <si>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</si>
  <si>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</si>
  <si>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</si>
  <si>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</si>
  <si>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</si>
  <si>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</si>
  <si>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</si>
  <si>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</si>
  <si>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</si>
  <si>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</si>
  <si>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</si>
  <si>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</si>
  <si>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</si>
  <si>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</si>
  <si>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</si>
  <si>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</si>
  <si>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</si>
  <si>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</si>
  <si>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</si>
  <si>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</si>
  <si>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</si>
  <si>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</si>
  <si>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</si>
  <si>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</si>
  <si>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</si>
  <si>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</si>
  <si>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</si>
  <si>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</si>
  <si>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</si>
  <si>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</si>
  <si>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</si>
  <si>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</si>
  <si>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</si>
  <si>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</si>
  <si>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</si>
  <si>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</si>
  <si>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</si>
  <si>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</si>
  <si>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</si>
  <si>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</si>
  <si>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</si>
  <si>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</si>
  <si>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</si>
  <si>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</si>
  <si>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</si>
  <si>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</si>
  <si>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</si>
  <si>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</si>
  <si>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</si>
  <si>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</si>
  <si>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</si>
  <si>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</si>
  <si>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</si>
  <si>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</si>
  <si>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</si>
  <si>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</si>
  <si>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</si>
  <si>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</si>
  <si>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</si>
  <si>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</si>
  <si>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</si>
  <si>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</si>
  <si>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</si>
  <si>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</si>
  <si>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</si>
  <si>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</si>
  <si>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</si>
  <si>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</si>
  <si>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</si>
  <si>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</si>
  <si>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</si>
  <si>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</si>
  <si>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</si>
  <si>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</si>
  <si>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</si>
  <si>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</si>
  <si>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</si>
  <si>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</si>
  <si>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</si>
  <si>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</si>
  <si>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</si>
  <si>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</si>
  <si>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</si>
  <si>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</si>
  <si>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</si>
  <si>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</si>
  <si>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</si>
  <si>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</si>
  <si>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</si>
  <si>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</si>
  <si>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</si>
  <si>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</si>
  <si>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</si>
  <si>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</si>
  <si>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</si>
  <si>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</si>
  <si>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</si>
  <si>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</si>
  <si>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</si>
  <si>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</si>
  <si>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</si>
  <si>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</si>
  <si>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</si>
  <si>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</si>
  <si>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</si>
  <si>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</si>
  <si>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</si>
  <si>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</si>
  <si>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</si>
  <si>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</si>
  <si>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</si>
  <si>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</si>
  <si>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</si>
  <si>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</si>
  <si>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</si>
  <si>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</si>
  <si>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</si>
  <si>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</si>
  <si>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</si>
  <si>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</si>
  <si>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</si>
  <si>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</si>
  <si>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</si>
  <si>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</si>
  <si>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</si>
  <si>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</si>
  <si>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</si>
  <si>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</si>
  <si>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</si>
  <si>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</si>
  <si>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</si>
  <si>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</si>
  <si>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</si>
  <si>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</si>
  <si>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</si>
  <si>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</si>
  <si>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</si>
  <si>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</si>
  <si>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</si>
  <si>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</si>
  <si>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</si>
  <si>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</si>
  <si>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</si>
  <si>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</si>
  <si>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</si>
  <si>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</si>
  <si>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</si>
  <si>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</si>
  <si>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</si>
  <si>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</si>
  <si>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</si>
  <si>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</si>
  <si>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</si>
  <si>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</si>
  <si>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</si>
  <si>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</si>
  <si>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</si>
  <si>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</si>
  <si>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</si>
  <si>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</si>
  <si>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</si>
  <si>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</si>
  <si>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</si>
  <si>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</si>
  <si>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</si>
  <si>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</si>
  <si>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</si>
  <si>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</si>
  <si>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</si>
  <si>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</si>
  <si>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</si>
  <si>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</si>
  <si>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</si>
  <si>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</si>
  <si>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</si>
  <si>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</si>
  <si>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</si>
  <si>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</si>
  <si>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</si>
  <si>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</si>
  <si>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</si>
  <si>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</si>
  <si>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</si>
  <si>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</si>
  <si>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</si>
  <si>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</si>
  <si>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</si>
  <si>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</si>
  <si>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</si>
  <si>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</si>
  <si>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</si>
  <si>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</si>
  <si>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</si>
  <si>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</si>
  <si>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</si>
  <si>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</si>
  <si>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</si>
  <si>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</si>
  <si>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</si>
  <si>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</si>
  <si>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</si>
  <si>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</si>
  <si>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</si>
  <si>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</si>
  <si>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</si>
  <si>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</si>
  <si>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</si>
  <si>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</si>
  <si>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</si>
  <si>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</si>
  <si>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</si>
  <si>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</si>
  <si>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</si>
  <si>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</si>
  <si>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</si>
  <si>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</si>
  <si>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</si>
  <si>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</si>
  <si>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</si>
  <si>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</si>
  <si>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</si>
  <si>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</si>
  <si>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</si>
  <si>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</si>
  <si>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</si>
  <si>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</si>
  <si>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</si>
  <si>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</si>
  <si>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</si>
  <si>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</si>
  <si>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</si>
  <si>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</si>
  <si>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</si>
  <si>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</si>
  <si>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</si>
  <si>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</si>
  <si>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</si>
  <si>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</si>
  <si>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</si>
  <si>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</si>
  <si>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</si>
  <si>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</si>
  <si>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</si>
  <si>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</si>
  <si>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</si>
  <si>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</si>
  <si>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</si>
  <si>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</si>
  <si>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</si>
  <si>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</si>
  <si>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</si>
  <si>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</si>
  <si>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</si>
  <si>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</si>
  <si>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</si>
  <si>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</si>
  <si>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</si>
  <si>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</si>
  <si>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</si>
  <si>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</si>
  <si>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</si>
  <si>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</si>
  <si>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</si>
  <si>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</si>
  <si>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</si>
  <si>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</si>
  <si>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</si>
  <si>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</si>
  <si>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</si>
  <si>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</si>
  <si>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</si>
  <si>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</si>
  <si>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</si>
  <si>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</si>
  <si>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</si>
  <si>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</si>
  <si>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</si>
  <si>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</si>
  <si>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</si>
  <si>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</si>
  <si>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</si>
  <si>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</si>
  <si>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</si>
  <si>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</si>
  <si>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</si>
  <si>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</si>
  <si>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</si>
  <si>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</si>
  <si>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</si>
  <si>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</si>
  <si>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</si>
  <si>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</si>
  <si>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</si>
  <si>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</si>
  <si>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</si>
  <si>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</si>
  <si>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</si>
  <si>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</si>
  <si>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</si>
  <si>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</si>
  <si>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</si>
  <si>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</si>
  <si>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</si>
  <si>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</si>
  <si>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</si>
  <si>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</si>
  <si>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</si>
  <si>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</si>
  <si>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</si>
  <si>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</si>
  <si>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</si>
  <si>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</si>
  <si>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</si>
  <si>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</si>
  <si>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</si>
  <si>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</si>
  <si>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</si>
  <si>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</si>
  <si>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</si>
  <si>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</si>
  <si>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</si>
  <si>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</si>
  <si>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</si>
  <si>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</si>
  <si>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</si>
  <si>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</si>
  <si>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</si>
  <si>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</si>
  <si>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</si>
  <si>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</si>
  <si>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</si>
  <si>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</si>
  <si>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</si>
  <si>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</si>
  <si>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</si>
  <si>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</si>
  <si>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</si>
  <si>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</si>
  <si>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</si>
  <si>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</si>
  <si>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</si>
  <si>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</si>
  <si>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</si>
  <si>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</si>
  <si>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</si>
  <si>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</si>
  <si>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</si>
  <si>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</si>
  <si>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</si>
  <si>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</si>
  <si>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</si>
  <si>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</si>
  <si>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</si>
  <si>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</si>
  <si>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</si>
  <si>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</si>
  <si>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</si>
  <si>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</si>
  <si>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</si>
  <si>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</si>
  <si>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</si>
  <si>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</si>
  <si>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</si>
  <si>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</si>
  <si>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</si>
  <si>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</si>
  <si>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</si>
  <si>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</si>
  <si>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</si>
  <si>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</si>
  <si>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</si>
  <si>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</si>
  <si>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</si>
  <si>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</si>
  <si>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</si>
  <si>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</si>
  <si>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</si>
  <si>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</si>
  <si>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</si>
  <si>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</si>
  <si>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</si>
  <si>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</si>
  <si>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</si>
  <si>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</si>
  <si>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</si>
  <si>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</si>
  <si>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</si>
  <si>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</si>
  <si>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</si>
  <si>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</si>
  <si>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</si>
  <si>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</si>
  <si>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</si>
  <si>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</si>
  <si>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</si>
  <si>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</si>
  <si>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</si>
  <si>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</si>
  <si>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</si>
  <si>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</si>
  <si>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</si>
  <si>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</si>
  <si>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</si>
  <si>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</si>
  <si>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</si>
  <si>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</si>
  <si>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</si>
  <si>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</si>
  <si>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</si>
  <si>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</si>
  <si>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</si>
  <si>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</si>
  <si>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</si>
  <si>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</si>
  <si>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</si>
  <si>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</si>
  <si>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</si>
  <si>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</si>
  <si>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</si>
  <si>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</si>
  <si>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</si>
  <si>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</si>
  <si>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</si>
  <si>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</si>
  <si>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</si>
  <si>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</si>
  <si>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</si>
  <si>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</si>
  <si>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</si>
  <si>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</si>
  <si>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</si>
  <si>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</si>
  <si>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</si>
  <si>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</si>
  <si>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</si>
  <si>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</si>
  <si>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</si>
  <si>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</si>
  <si>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</si>
  <si>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</si>
  <si>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</si>
  <si>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</si>
  <si>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</si>
  <si>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</si>
  <si>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</si>
  <si>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</si>
  <si>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</si>
  <si>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</si>
  <si>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</si>
  <si>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</si>
  <si>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</si>
  <si>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</si>
  <si>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</si>
  <si>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</si>
  <si>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</si>
  <si>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</si>
  <si>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</si>
  <si>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</si>
  <si>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</si>
  <si>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</si>
  <si>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</si>
  <si>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</si>
  <si>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</si>
  <si>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</si>
  <si>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</si>
  <si>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</si>
  <si>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</si>
  <si>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</si>
  <si>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</si>
  <si>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</si>
  <si>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</si>
  <si>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</si>
  <si>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</si>
  <si>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</si>
  <si>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</si>
  <si>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</si>
  <si>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</si>
  <si>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</si>
  <si>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</si>
  <si>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</si>
  <si>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</si>
  <si>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</si>
  <si>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</si>
  <si>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</si>
  <si>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</si>
  <si>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</si>
  <si>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</si>
  <si>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</si>
  <si>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</si>
  <si>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</si>
  <si>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</si>
  <si>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</si>
  <si>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</si>
  <si>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</si>
  <si>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</si>
  <si>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</si>
  <si>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</si>
  <si>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</si>
  <si>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</si>
  <si>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</si>
  <si>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</si>
  <si>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</si>
  <si>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</si>
  <si>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</si>
  <si>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</si>
  <si>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</si>
  <si>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</si>
  <si>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</si>
  <si>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</si>
  <si>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</si>
  <si>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</si>
  <si>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</si>
  <si>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</si>
  <si>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</si>
  <si>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</si>
  <si>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</si>
  <si>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</si>
  <si>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</si>
  <si>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</si>
  <si>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</si>
  <si>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</si>
  <si>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</si>
  <si>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</si>
  <si>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</si>
  <si>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</si>
  <si>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</si>
  <si>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</si>
  <si>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</si>
  <si>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</si>
  <si>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</si>
  <si>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</si>
  <si>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</si>
  <si>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</si>
  <si>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</si>
  <si>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</si>
  <si>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</si>
  <si>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</si>
  <si>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</si>
  <si>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</si>
  <si>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</si>
  <si>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</si>
  <si>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</si>
  <si>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</si>
  <si>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</si>
  <si>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</si>
  <si>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</si>
  <si>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</si>
  <si>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</si>
  <si>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</si>
  <si>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</si>
  <si>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</si>
  <si>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</si>
  <si>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</si>
  <si>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</si>
  <si>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</si>
  <si>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</si>
  <si>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</si>
  <si>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</si>
  <si>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</si>
  <si>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</si>
  <si>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</si>
  <si>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</si>
  <si>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</si>
  <si>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</si>
  <si>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</si>
  <si>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</si>
  <si>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</si>
  <si>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</si>
  <si>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</si>
  <si>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</si>
  <si>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</si>
  <si>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</si>
  <si>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</si>
  <si>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</si>
  <si>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</si>
  <si>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</si>
  <si>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</si>
  <si>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</si>
  <si>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</si>
  <si>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</si>
  <si>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</si>
  <si>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</si>
  <si>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</si>
  <si>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</si>
  <si>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</si>
  <si>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</si>
  <si>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</si>
  <si>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</si>
  <si>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</si>
  <si>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</si>
  <si>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</si>
  <si>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</si>
  <si>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</si>
  <si>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</si>
  <si>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</si>
  <si>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</si>
  <si>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</si>
  <si>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</si>
  <si>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</si>
  <si>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</si>
  <si>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</si>
  <si>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</si>
  <si>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</si>
  <si>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</si>
  <si>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</si>
  <si>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</si>
  <si>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</si>
  <si>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</si>
  <si>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</si>
  <si>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</si>
  <si>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</si>
  <si>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</si>
  <si>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</si>
  <si>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</si>
  <si>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</si>
  <si>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</si>
  <si>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</si>
  <si>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</si>
  <si>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</si>
  <si>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</si>
  <si>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</si>
  <si>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</si>
  <si>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</si>
  <si>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</si>
  <si>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</si>
  <si>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</si>
  <si>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</si>
  <si>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</si>
  <si>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</si>
  <si>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</si>
  <si>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</si>
  <si>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</si>
  <si>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</si>
  <si>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</si>
  <si>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</si>
  <si>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</si>
  <si>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</si>
  <si>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</si>
  <si>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</si>
  <si>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</si>
  <si>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</si>
  <si>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</si>
  <si>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</si>
  <si>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</si>
  <si>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</si>
  <si>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</si>
  <si>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</si>
  <si>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</si>
  <si>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</si>
  <si>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</si>
  <si>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</si>
  <si>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</si>
  <si>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</si>
  <si>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</si>
  <si>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</si>
  <si>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</si>
  <si>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</si>
  <si>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</si>
  <si>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</si>
  <si>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</si>
  <si>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</si>
  <si>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</si>
  <si>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</si>
  <si>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</si>
  <si>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</si>
  <si>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</si>
  <si>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</si>
  <si>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</si>
  <si>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</si>
  <si>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</si>
  <si>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</si>
  <si>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</si>
  <si>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</si>
  <si>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</si>
  <si>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</si>
  <si>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</si>
  <si>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</si>
  <si>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</si>
  <si>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</si>
  <si>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</si>
  <si>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</si>
  <si>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</si>
  <si>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</si>
  <si>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</si>
  <si>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</si>
  <si>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</si>
  <si>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</si>
  <si>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</si>
  <si>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</si>
  <si>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</si>
  <si>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</si>
  <si>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</si>
  <si>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</si>
  <si>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</si>
  <si>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</si>
  <si>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</si>
  <si>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</si>
  <si>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</si>
  <si>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</si>
  <si>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</si>
  <si>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</si>
  <si>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</si>
  <si>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</si>
  <si>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</si>
  <si>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</si>
  <si>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</si>
  <si>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</si>
  <si>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</si>
  <si>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</si>
  <si>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</si>
  <si>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</si>
  <si>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</si>
  <si>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</si>
  <si>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</si>
  <si>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</si>
  <si>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</si>
  <si>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</si>
  <si>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</si>
  <si>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</si>
  <si>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</si>
  <si>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</si>
  <si>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</si>
  <si>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</si>
  <si>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</si>
  <si>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</si>
  <si>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</si>
  <si>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</si>
  <si>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</si>
  <si>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</si>
  <si>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</si>
  <si>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</si>
  <si>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</si>
  <si>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</si>
  <si>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</si>
  <si>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</si>
  <si>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</si>
  <si>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</si>
  <si>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</si>
  <si>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</si>
  <si>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</si>
  <si>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</si>
  <si>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</si>
  <si>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</si>
  <si>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</si>
  <si>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</si>
  <si>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</si>
  <si>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</si>
  <si>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</si>
  <si>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</si>
  <si>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</si>
  <si>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</si>
  <si>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</si>
  <si>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</si>
  <si>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</si>
  <si>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</si>
  <si>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</si>
  <si>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</si>
  <si>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</si>
  <si>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</si>
  <si>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</si>
  <si>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</si>
  <si>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</si>
  <si>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</si>
  <si>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</si>
  <si>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</si>
  <si>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</si>
  <si>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</si>
  <si>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</si>
  <si>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</si>
  <si>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</si>
  <si>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</si>
  <si>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</si>
  <si>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</si>
  <si>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</si>
  <si>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</si>
  <si>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</si>
  <si>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</si>
  <si>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</si>
  <si>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</si>
  <si>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</si>
  <si>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</si>
  <si>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</si>
  <si>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</si>
  <si>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</si>
  <si>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</si>
  <si>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</si>
  <si>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</si>
  <si>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</si>
  <si>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</si>
  <si>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</si>
  <si>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</si>
  <si>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</si>
  <si>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</si>
  <si>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</si>
  <si>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</si>
  <si>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</si>
  <si>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</si>
  <si>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</si>
  <si>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</si>
  <si>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</si>
  <si>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</si>
  <si>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</si>
  <si>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</si>
  <si>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</si>
  <si>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</si>
  <si>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</si>
  <si>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</si>
  <si>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</si>
  <si>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</si>
  <si>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</si>
  <si>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</si>
  <si>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</si>
  <si>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</si>
  <si>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</si>
  <si>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</si>
  <si>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</si>
  <si>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</si>
  <si>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</si>
  <si>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</si>
  <si>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</si>
  <si>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</si>
  <si>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</si>
  <si>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</si>
  <si>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</si>
  <si>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</si>
  <si>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</si>
  <si>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</si>
  <si>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</si>
  <si>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</si>
  <si>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</si>
  <si>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</si>
  <si>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</si>
  <si>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</si>
  <si>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</si>
  <si>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</si>
  <si>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</si>
  <si>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</si>
  <si>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</si>
  <si>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</si>
  <si>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</si>
  <si>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</si>
  <si>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</si>
  <si>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</si>
  <si>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</si>
  <si>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</si>
  <si>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</si>
  <si>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</si>
  <si>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</si>
  <si>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</si>
  <si>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</si>
  <si>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</si>
  <si>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</si>
  <si>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</si>
  <si>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</si>
  <si>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</si>
  <si>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</si>
  <si>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</si>
  <si>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</si>
  <si>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</si>
  <si>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</si>
  <si>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</si>
  <si>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</si>
  <si>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</si>
  <si>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</si>
  <si>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</si>
  <si>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</si>
  <si>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</si>
  <si>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</si>
  <si>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</si>
  <si>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</si>
  <si>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</si>
  <si>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</si>
  <si>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</si>
  <si>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</si>
  <si>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</si>
  <si>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</si>
  <si>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</si>
  <si>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</si>
  <si>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</si>
  <si>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</si>
  <si>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</si>
  <si>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</si>
  <si>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</si>
  <si>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</si>
  <si>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</si>
  <si>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</si>
  <si>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</si>
  <si>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</si>
  <si>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</si>
  <si>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</si>
  <si>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</si>
  <si>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</si>
  <si>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</si>
  <si>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</si>
  <si>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</si>
  <si>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</si>
  <si>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</si>
  <si>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</si>
  <si>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</si>
  <si>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</si>
  <si>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</si>
  <si>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</si>
  <si>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</si>
  <si>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</si>
  <si>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</si>
  <si>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</si>
  <si>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</si>
  <si>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</si>
  <si>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</si>
  <si>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</si>
  <si>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</si>
  <si>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</si>
  <si>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</si>
  <si>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</si>
  <si>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</si>
  <si>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</si>
  <si>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</si>
  <si>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</si>
  <si>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</si>
  <si>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</si>
  <si>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</si>
  <si>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</si>
  <si>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</si>
  <si>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</si>
  <si>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</si>
  <si>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</si>
  <si>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</si>
  <si>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</si>
  <si>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</si>
  <si>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</si>
  <si>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</si>
  <si>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</si>
  <si>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</si>
  <si>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</si>
  <si>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</si>
  <si>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</si>
  <si>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</si>
  <si>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</si>
  <si>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</si>
  <si>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</si>
  <si>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</si>
  <si>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</si>
  <si>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</si>
  <si>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</si>
  <si>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</si>
  <si>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</si>
  <si>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</si>
  <si>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</si>
  <si>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</si>
  <si>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</si>
  <si>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</si>
  <si>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</si>
  <si>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</si>
  <si>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</si>
  <si>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</si>
  <si>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</si>
  <si>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</si>
  <si>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</si>
  <si>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</si>
  <si>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</si>
  <si>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</si>
  <si>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</si>
  <si>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</si>
  <si>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</si>
  <si>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</si>
  <si>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</si>
  <si>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</si>
  <si>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</si>
  <si>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</si>
  <si>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</si>
  <si>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</si>
  <si>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</si>
  <si>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</si>
  <si>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</si>
  <si>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</si>
  <si>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</si>
  <si>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</si>
  <si>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</si>
  <si>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</si>
  <si>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</si>
  <si>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</si>
  <si>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</si>
  <si>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</si>
  <si>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</si>
  <si>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</si>
  <si>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</si>
  <si>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</si>
  <si>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</si>
  <si>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</si>
  <si>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</si>
  <si>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</si>
  <si>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</si>
  <si>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</si>
  <si>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</si>
  <si>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</si>
  <si>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</si>
  <si>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</si>
  <si>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</si>
  <si>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</si>
  <si>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</si>
  <si>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</si>
  <si>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</si>
  <si>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</si>
  <si>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</si>
  <si>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</si>
  <si>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</si>
  <si>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</si>
  <si>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</si>
  <si>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</si>
  <si>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</si>
  <si>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</si>
  <si>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</si>
  <si>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</si>
  <si>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</si>
  <si>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</si>
  <si>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</si>
  <si>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</si>
  <si>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</si>
  <si>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</si>
  <si>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</si>
  <si>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</si>
  <si>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</si>
  <si>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</si>
  <si>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</si>
  <si>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</si>
  <si>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</si>
  <si>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</si>
  <si>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</si>
  <si>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</si>
  <si>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</si>
  <si>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</si>
  <si>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</si>
  <si>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</si>
  <si>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</si>
  <si>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</si>
  <si>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</si>
  <si>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</si>
  <si>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</si>
  <si>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</si>
  <si>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</si>
  <si>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</si>
  <si>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</si>
  <si>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</si>
  <si>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</si>
  <si>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</si>
  <si>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</si>
  <si>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</si>
  <si>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</si>
  <si>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</si>
  <si>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</si>
  <si>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</si>
  <si>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</si>
  <si>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</si>
  <si>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</si>
  <si>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</si>
  <si>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</si>
  <si>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</si>
  <si>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</si>
  <si>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</si>
  <si>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</si>
  <si>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</si>
  <si>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</si>
  <si>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</si>
  <si>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</si>
  <si>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</si>
  <si>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</si>
  <si>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</si>
  <si>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</si>
  <si>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</si>
  <si>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</si>
  <si>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</si>
  <si>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</si>
  <si>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</si>
  <si>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</si>
  <si>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</si>
  <si>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</si>
  <si>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</si>
  <si>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</si>
  <si>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</si>
  <si>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</si>
  <si>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</si>
  <si>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</si>
  <si>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</si>
  <si>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</si>
  <si>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</si>
  <si>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</si>
  <si>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</si>
  <si>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</si>
  <si>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</si>
  <si>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</si>
  <si>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</si>
  <si>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</si>
  <si>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</si>
  <si>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</si>
  <si>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</si>
  <si>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</si>
  <si>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</si>
  <si>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</si>
  <si>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</si>
  <si>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</si>
  <si>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</si>
  <si>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</si>
  <si>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</si>
  <si>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</si>
  <si>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</si>
  <si>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</si>
  <si>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</si>
  <si>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</si>
  <si>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</si>
  <si>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</si>
  <si>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</si>
  <si>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</si>
  <si>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</si>
  <si>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</si>
  <si>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</si>
  <si>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</si>
  <si>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</si>
  <si>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</si>
  <si>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</si>
  <si>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</si>
  <si>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</si>
  <si>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</si>
  <si>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</si>
  <si>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</si>
  <si>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</si>
  <si>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</si>
  <si>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</si>
  <si>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</si>
  <si>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</si>
  <si>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</si>
  <si>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</si>
  <si>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</si>
  <si>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</si>
  <si>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</si>
  <si>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</si>
  <si>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</si>
  <si>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</si>
  <si>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</si>
  <si>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</si>
  <si>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</si>
  <si>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</si>
  <si>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</si>
  <si>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</si>
  <si>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</si>
  <si>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</si>
  <si>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</si>
  <si>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</si>
  <si>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</si>
  <si>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</si>
  <si>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</si>
  <si>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</si>
  <si>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</si>
  <si>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</si>
  <si>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</si>
  <si>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</si>
  <si>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</si>
  <si>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</si>
  <si>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</si>
  <si>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</si>
  <si>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</si>
  <si>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</si>
  <si>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</si>
  <si>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</si>
  <si>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</si>
  <si>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</si>
  <si>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</si>
  <si>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</si>
  <si>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</si>
  <si>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</si>
  <si>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</si>
  <si>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</si>
  <si>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</si>
  <si>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</si>
  <si>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</si>
  <si>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</si>
  <si>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</si>
  <si>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</si>
  <si>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</si>
  <si>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</si>
  <si>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</si>
  <si>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</si>
  <si>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</si>
  <si>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</si>
  <si>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</si>
  <si>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</si>
  <si>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</si>
  <si>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</si>
  <si>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</si>
  <si>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</si>
  <si>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</si>
  <si>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</si>
  <si>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</si>
  <si>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</si>
  <si>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</si>
  <si>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</si>
  <si>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</si>
  <si>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</si>
  <si>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</si>
  <si>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</si>
  <si>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</si>
  <si>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</si>
  <si>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</si>
  <si>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</si>
  <si>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</si>
  <si>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</si>
  <si>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</si>
  <si>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</si>
  <si>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</si>
  <si>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</si>
  <si>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</si>
  <si>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</si>
  <si>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</si>
  <si>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</si>
  <si>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</si>
  <si>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</si>
  <si>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</si>
  <si>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</si>
  <si>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</si>
  <si>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</si>
  <si>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</si>
  <si>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</si>
  <si>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</si>
  <si>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</si>
  <si>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</si>
  <si>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</si>
  <si>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</si>
  <si>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</si>
  <si>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</si>
  <si>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</si>
  <si>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</si>
  <si>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</si>
  <si>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</si>
  <si>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</si>
  <si>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</si>
  <si>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</si>
  <si>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</si>
  <si>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</si>
  <si>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</si>
  <si>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</si>
  <si>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</si>
  <si>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</si>
  <si>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</si>
  <si>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</si>
  <si>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</si>
  <si>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</si>
  <si>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</si>
  <si>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</si>
  <si>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</si>
  <si>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</si>
  <si>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</si>
  <si>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</si>
  <si>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</si>
  <si>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</si>
  <si>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</si>
  <si>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</si>
  <si>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</si>
  <si>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</si>
  <si>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</si>
  <si>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</si>
  <si>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</si>
  <si>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</si>
  <si>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</si>
  <si>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</si>
  <si>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</si>
  <si>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</si>
  <si>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</si>
  <si>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</si>
  <si>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</si>
  <si>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</si>
  <si>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</si>
  <si>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</si>
  <si>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</si>
  <si>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</si>
  <si>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</si>
  <si>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</si>
  <si>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</si>
  <si>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</si>
  <si>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</si>
  <si>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</si>
  <si>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</si>
  <si>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</si>
  <si>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</si>
  <si>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</si>
  <si>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</si>
  <si>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</si>
  <si>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</si>
  <si>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</si>
  <si>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</si>
  <si>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</si>
  <si>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</si>
  <si>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</si>
  <si>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</si>
  <si>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</si>
  <si>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</si>
  <si>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</si>
  <si>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</si>
  <si>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</si>
  <si>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</si>
  <si>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</si>
  <si>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</si>
  <si>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</si>
  <si>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</si>
  <si>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</si>
  <si>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</si>
  <si>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AUDE</t>
  </si>
  <si>
    <t xml:space="preserve">AUDE A ESCOULOUBRE 1</t>
  </si>
  <si>
    <t xml:space="preserve">06175540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</si>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</sst>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42559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15.2647058823529</v>
      </c>
      <c r="N5" s="324"/>
      <c r="O5" s="325" t="s">
        <v>195</v>
      </c>
      <c r="P5" s="326" t="n">
        <v>15.3214285714286</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14.4545454545455</v>
      </c>
      <c r="P8" s="356" t="n">
        <f aca="false">IF(ISERROR(AVERAGE(K23:K82)),"  ",AVERAGE(K23:K82))</f>
        <v>2.09090909090909</v>
      </c>
      <c r="Q8" s="357"/>
      <c r="R8" s="281"/>
      <c r="S8" s="281"/>
      <c r="T8" s="281"/>
      <c r="U8" s="281"/>
      <c r="V8" s="281"/>
      <c r="W8" s="295"/>
      <c r="X8" s="0"/>
      <c r="Y8" s="0"/>
      <c r="Z8" s="0"/>
    </row>
    <row r="9" customFormat="false" ht="12.75" hidden="false" customHeight="false" outlineLevel="0" collapsed="false">
      <c r="A9" s="314" t="s">
        <v>3398</v>
      </c>
      <c r="B9" s="358" t="n">
        <v>2</v>
      </c>
      <c r="C9" s="359"/>
      <c r="D9" s="360"/>
      <c r="E9" s="360"/>
      <c r="F9" s="361" t="n">
        <f aca="false">($B9*$B$7+$C9*$C$7)/100</f>
        <v>2</v>
      </c>
      <c r="G9" s="362"/>
      <c r="H9" s="317"/>
      <c r="I9" s="281"/>
      <c r="J9" s="363"/>
      <c r="K9" s="364"/>
      <c r="L9" s="347"/>
      <c r="M9" s="365"/>
      <c r="N9" s="355" t="s">
        <v>3399</v>
      </c>
      <c r="O9" s="356" t="n">
        <f aca="false">IF(ISERROR(STDEVP(J23:J82))," ",STDEVP(J23:J82))</f>
        <v>2.49958674270319</v>
      </c>
      <c r="P9" s="356" t="n">
        <f aca="false">IF(ISERROR(STDEVP(K23:K82)),"  ",STDEVP(K23:K82))</f>
        <v>0.51425947722658</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10</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3</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11</v>
      </c>
      <c r="M13" s="381"/>
      <c r="N13" s="389" t="s">
        <v>3411</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v>
      </c>
      <c r="M15" s="381"/>
      <c r="N15" s="389" t="s">
        <v>3417</v>
      </c>
      <c r="O15" s="390" t="n">
        <f aca="false">COUNTIF(K23:K82,"=1")</f>
        <v>1</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0.6875</v>
      </c>
      <c r="N17" s="389" t="s">
        <v>3422</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2.165</v>
      </c>
      <c r="C20" s="433" t="n">
        <f aca="false">SUM(C23:C82)</f>
        <v>0</v>
      </c>
      <c r="D20" s="434"/>
      <c r="E20" s="435" t="s">
        <v>3424</v>
      </c>
      <c r="F20" s="436" t="n">
        <f aca="false">($B20*$B$7+$C20*$C$7)/100</f>
        <v>2.165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2.165</v>
      </c>
      <c r="C21" s="444" t="n">
        <f aca="false">C20*C7/100</f>
        <v>0</v>
      </c>
      <c r="D21" s="445" t="s">
        <v>3427</v>
      </c>
      <c r="E21" s="446"/>
      <c r="F21" s="447" t="n">
        <f aca="false">B21+C21</f>
        <v>2.165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195</v>
      </c>
      <c r="B24" s="490" t="n">
        <v>1.5</v>
      </c>
      <c r="C24" s="491"/>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1.5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1.5</v>
      </c>
      <c r="S24" s="485" t="n">
        <f aca="false">IF(OR(ISTEXT(H24),R24=0),"",IF(R24&lt;0.1,1,IF(R24&lt;1,2,IF(R24&lt;10,3,IF(R24&lt;50,4,IF(R24&gt;=50,5,""))))))</f>
        <v>3</v>
      </c>
      <c r="T24" s="485" t="n">
        <f aca="false">IF(ISERROR(S24*J24),0,S24*J24)</f>
        <v>45</v>
      </c>
      <c r="U24" s="485" t="n">
        <f aca="false">IF(ISERROR(S24*J24*K24),0,S24*J24*K24)</f>
        <v>90</v>
      </c>
      <c r="V24" s="501" t="n">
        <f aca="false">IF(ISERROR(S24*K24),0,S24*K24)</f>
        <v>6</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217</v>
      </c>
      <c r="B25" s="490" t="n">
        <v>0.1</v>
      </c>
      <c r="C25" s="491"/>
      <c r="D25" s="492" t="str">
        <f aca="false">IF(ISERROR(VLOOKUP($A25,'liste reference'!$A$6:$B$1174,2,0)),IF(ISERROR(VLOOKUP($A25,'liste reference'!$B$6:$B$1174,1,0)),"",VLOOKUP($A25,'liste reference'!$B$6:$B$1174,1,0)),VLOOKUP($A25,'liste reference'!$A$6:$B$1174,2,0))</f>
        <v>Lemanea sp.</v>
      </c>
      <c r="E25" s="493" t="e">
        <f aca="false">IF(D25="",0,VLOOKUP(D25,D$22:D24,1,0))</f>
        <v>#N/A</v>
      </c>
      <c r="F25" s="494" t="n">
        <f aca="false">IF(AND(OR(A25="",A25="!!!!!!"),B25="",C25=""),"",IF(OR(AND(B25="",C25=""),ISERROR(C25+B25)),"!!!",($B25*$B$7+$C25*$C$7)/100))</f>
        <v>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1159</v>
      </c>
      <c r="R25" s="484" t="n">
        <f aca="false">IF(ISTEXT(H25),"",(B25*$B$7/100)+(C25*$C$7/100))</f>
        <v>0.1</v>
      </c>
      <c r="S25" s="485" t="n">
        <f aca="false">IF(OR(ISTEXT(H25),R25=0),"",IF(R25&lt;0.1,1,IF(R25&lt;1,2,IF(R25&lt;10,3,IF(R25&lt;50,4,IF(R25&gt;=50,5,""))))))</f>
        <v>2</v>
      </c>
      <c r="T25" s="485" t="n">
        <f aca="false">IF(ISERROR(S25*J25),0,S25*J25)</f>
        <v>30</v>
      </c>
      <c r="U25" s="485" t="n">
        <f aca="false">IF(ISERROR(S25*J25*K25),0,S25*J25*K25)</f>
        <v>60</v>
      </c>
      <c r="V25" s="501" t="n">
        <f aca="false">IF(ISERROR(S25*K25),0,S25*K25)</f>
        <v>4</v>
      </c>
      <c r="W25" s="502"/>
      <c r="X25" s="503"/>
      <c r="Y25" s="488" t="str">
        <f aca="false">IF(AND(ISNUMBER(F25),OR(A25="",A25="!!!!!!")),"!!!!!!",IF(A25="new.cod","NEWCOD",IF(AND((Z25=""),ISTEXT(A25),A25&lt;&gt;"!!!!!!"),A25,IF(Z25="","",INDEX('liste reference'!$A$6:$A$1174,Z25)))))</f>
        <v>LEASPX</v>
      </c>
      <c r="Z25" s="470" t="n">
        <f aca="false">IF(ISERROR(MATCH(A25,'liste reference'!$A$6:$A$1174,0)),IF(ISERROR(MATCH(A25,'liste reference'!$B$6:$B$1174,0)),"",(MATCH(A25,'liste reference'!$B$6:$B$1174,0))),(MATCH(A25,'liste reference'!$A$6:$A$1174,0)))</f>
        <v>59</v>
      </c>
    </row>
    <row r="26" customFormat="false" ht="12.75" hidden="false" customHeight="false" outlineLevel="0" collapsed="false">
      <c r="A26" s="489" t="s">
        <v>448</v>
      </c>
      <c r="B26" s="490" t="n">
        <v>0.16</v>
      </c>
      <c r="C26" s="491"/>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0.16</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0.16</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557</v>
      </c>
      <c r="B27" s="490" t="n">
        <v>0.005</v>
      </c>
      <c r="C27" s="491"/>
      <c r="D27" s="492" t="str">
        <f aca="false">IF(ISERROR(VLOOKUP($A27,'liste reference'!$A$6:$B$1174,2,0)),IF(ISERROR(VLOOKUP($A27,'liste reference'!$B$6:$B$1174,1,0)),"",VLOOKUP($A27,'liste reference'!$B$6:$B$1174,1,0)),VLOOKUP($A27,'liste reference'!$A$6:$B$1174,2,0))</f>
        <v>Pellia sp.</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Pellia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1196</v>
      </c>
      <c r="R27" s="484" t="n">
        <f aca="false">IF(ISTEXT(H27),"",(B27*$B$7/100)+(C27*$C$7/100))</f>
        <v>0.005</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PELSPX</v>
      </c>
      <c r="Z27" s="470" t="n">
        <f aca="false">IF(ISERROR(MATCH(A27,'liste reference'!$A$6:$A$1174,0)),IF(ISERROR(MATCH(A27,'liste reference'!$B$6:$B$1174,0)),"",(MATCH(A27,'liste reference'!$B$6:$B$1174,0))),(MATCH(A27,'liste reference'!$A$6:$A$1174,0)))</f>
        <v>170</v>
      </c>
    </row>
    <row r="28" customFormat="false" ht="12.75" hidden="false" customHeight="false" outlineLevel="0" collapsed="false">
      <c r="A28" s="489" t="s">
        <v>645</v>
      </c>
      <c r="B28" s="490" t="n">
        <v>0.08</v>
      </c>
      <c r="C28" s="491"/>
      <c r="D28" s="492" t="str">
        <f aca="false">IF(ISERROR(VLOOKUP($A28,'liste reference'!$A$6:$B$1174,2,0)),IF(ISERROR(VLOOKUP($A28,'liste reference'!$B$6:$B$1174,1,0)),"",VLOOKUP($A28,'liste reference'!$B$6:$B$1174,1,0)),VLOOKUP($A28,'liste reference'!$A$6:$B$1174,2,0))</f>
        <v>Brachythecium rivulare</v>
      </c>
      <c r="E28" s="493" t="e">
        <f aca="false">IF(D28="",0,VLOOKUP(D28,D$22:D27,1,0))</f>
        <v>#N/A</v>
      </c>
      <c r="F28" s="494" t="n">
        <f aca="false">IF(AND(OR(A28="",A28="!!!!!!"),B28="",C28=""),"",IF(OR(AND(B28="",C28=""),ISERROR(C28+B28)),"!!!",($B28*$B$7+$C28*$C$7)/100))</f>
        <v>0.08</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Brachythecium rivulare</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1260</v>
      </c>
      <c r="R28" s="484" t="n">
        <f aca="false">IF(ISTEXT(H28),"",(B28*$B$7/100)+(C28*$C$7/100))</f>
        <v>0.08</v>
      </c>
      <c r="S28" s="485" t="n">
        <f aca="false">IF(OR(ISTEXT(H28),R28=0),"",IF(R28&lt;0.1,1,IF(R28&lt;1,2,IF(R28&lt;10,3,IF(R28&lt;50,4,IF(R28&gt;=50,5,""))))))</f>
        <v>1</v>
      </c>
      <c r="T28" s="485" t="n">
        <f aca="false">IF(ISERROR(S28*J28),0,S28*J28)</f>
        <v>15</v>
      </c>
      <c r="U28" s="485" t="n">
        <f aca="false">IF(ISERROR(S28*J28*K28),0,S28*J28*K28)</f>
        <v>30</v>
      </c>
      <c r="V28" s="501" t="n">
        <f aca="false">IF(ISERROR(S28*K28),0,S28*K28)</f>
        <v>2</v>
      </c>
      <c r="W28" s="502"/>
      <c r="X28" s="503"/>
      <c r="Y28" s="488" t="str">
        <f aca="false">IF(AND(ISNUMBER(F28),OR(A28="",A28="!!!!!!")),"!!!!!!",IF(A28="new.cod","NEWCOD",IF(AND((Z28=""),ISTEXT(A28),A28&lt;&gt;"!!!!!!"),A28,IF(Z28="","",INDEX('liste reference'!$A$6:$A$1174,Z28)))))</f>
        <v>BRARIV</v>
      </c>
      <c r="Z28" s="470" t="n">
        <f aca="false">IF(ISERROR(MATCH(A28,'liste reference'!$A$6:$A$1174,0)),IF(ISERROR(MATCH(A28,'liste reference'!$B$6:$B$1174,0)),"",(MATCH(A28,'liste reference'!$B$6:$B$1174,0))),(MATCH(A28,'liste reference'!$A$6:$A$1174,0)))</f>
        <v>203</v>
      </c>
    </row>
    <row r="29" customFormat="false" ht="12.75" hidden="false" customHeight="false" outlineLevel="0" collapsed="false">
      <c r="A29" s="489" t="s">
        <v>710</v>
      </c>
      <c r="B29" s="490" t="n">
        <v>0.005</v>
      </c>
      <c r="C29" s="491"/>
      <c r="D29" s="492" t="str">
        <f aca="false">IF(ISERROR(VLOOKUP($A29,'liste reference'!$A$6:$B$1174,2,0)),IF(ISERROR(VLOOKUP($A29,'liste reference'!$B$6:$B$1174,1,0)),"",VLOOKUP($A29,'liste reference'!$B$6:$B$1174,1,0)),VLOOKUP($A29,'liste reference'!$A$6:$B$1174,2,0))</f>
        <v>Cinclidotus fontinaloides</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fontinaloides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1320</v>
      </c>
      <c r="R29" s="484" t="n">
        <f aca="false">IF(ISTEXT(H29),"",(B29*$B$7/100)+(C29*$C$7/100))</f>
        <v>0.005</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CINFON</v>
      </c>
      <c r="Z29" s="470" t="n">
        <f aca="false">IF(ISERROR(MATCH(A29,'liste reference'!$A$6:$A$1174,0)),IF(ISERROR(MATCH(A29,'liste reference'!$B$6:$B$1174,0)),"",(MATCH(A29,'liste reference'!$B$6:$B$1174,0))),(MATCH(A29,'liste reference'!$A$6:$A$1174,0)))</f>
        <v>223</v>
      </c>
    </row>
    <row r="30" customFormat="false" ht="12.75" hidden="false" customHeight="false" outlineLevel="0" collapsed="false">
      <c r="A30" s="489" t="s">
        <v>723</v>
      </c>
      <c r="B30" s="490" t="n">
        <v>0.25</v>
      </c>
      <c r="C30" s="491"/>
      <c r="D30" s="492" t="str">
        <f aca="false">IF(ISERROR(VLOOKUP($A30,'liste reference'!$A$6:$B$1174,2,0)),IF(ISERROR(VLOOKUP($A30,'liste reference'!$B$6:$B$1174,1,0)),"",VLOOKUP($A30,'liste reference'!$B$6:$B$1174,1,0)),VLOOKUP($A30,'liste reference'!$A$6:$B$1174,2,0))</f>
        <v>Cratoneuron filicinum</v>
      </c>
      <c r="E30" s="493" t="e">
        <f aca="false">IF(D30="",0,VLOOKUP(D30,D$22:D29,1,0))</f>
        <v>#N/A</v>
      </c>
      <c r="F30" s="494" t="n">
        <f aca="false">IF(AND(OR(A30="",A30="!!!!!!"),B30="",C30=""),"",IF(OR(AND(B30="",C30=""),ISERROR(C30+B30)),"!!!",($B30*$B$7+$C30*$C$7)/100))</f>
        <v>0.25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18</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Cratoneuron filicinum</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1233</v>
      </c>
      <c r="R30" s="484" t="n">
        <f aca="false">IF(ISTEXT(H30),"",(B30*$B$7/100)+(C30*$C$7/100))</f>
        <v>0.25</v>
      </c>
      <c r="S30" s="485" t="n">
        <f aca="false">IF(OR(ISTEXT(H30),R30=0),"",IF(R30&lt;0.1,1,IF(R30&lt;1,2,IF(R30&lt;10,3,IF(R30&lt;50,4,IF(R30&gt;=50,5,""))))))</f>
        <v>2</v>
      </c>
      <c r="T30" s="485" t="n">
        <f aca="false">IF(ISERROR(S30*J30),0,S30*J30)</f>
        <v>36</v>
      </c>
      <c r="U30" s="485" t="n">
        <f aca="false">IF(ISERROR(S30*J30*K30),0,S30*J30*K30)</f>
        <v>108</v>
      </c>
      <c r="V30" s="501" t="n">
        <f aca="false">IF(ISERROR(S30*K30),0,S30*K30)</f>
        <v>6</v>
      </c>
      <c r="W30" s="502"/>
      <c r="X30" s="503"/>
      <c r="Y30" s="488" t="str">
        <f aca="false">IF(AND(ISNUMBER(F30),OR(A30="",A30="!!!!!!")),"!!!!!!",IF(A30="new.cod","NEWCOD",IF(AND((Z30=""),ISTEXT(A30),A30&lt;&gt;"!!!!!!"),A30,IF(Z30="","",INDEX('liste reference'!$A$6:$A$1174,Z30)))))</f>
        <v>CRAFIL</v>
      </c>
      <c r="Z30" s="470" t="n">
        <f aca="false">IF(ISERROR(MATCH(A30,'liste reference'!$A$6:$A$1174,0)),IF(ISERROR(MATCH(A30,'liste reference'!$B$6:$B$1174,0)),"",(MATCH(A30,'liste reference'!$B$6:$B$1174,0))),(MATCH(A30,'liste reference'!$A$6:$A$1174,0)))</f>
        <v>227</v>
      </c>
    </row>
    <row r="31" customFormat="false" ht="12.75" hidden="false" customHeight="false" outlineLevel="0" collapsed="false">
      <c r="A31" s="489" t="s">
        <v>830</v>
      </c>
      <c r="B31" s="490" t="n">
        <v>0.01</v>
      </c>
      <c r="C31" s="491"/>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0.01</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889</v>
      </c>
      <c r="B32" s="490" t="n">
        <v>0.005</v>
      </c>
      <c r="C32" s="491"/>
      <c r="D32" s="492" t="str">
        <f aca="false">IF(ISERROR(VLOOKUP($A32,'liste reference'!$A$6:$B$1174,2,0)),IF(ISERROR(VLOOKUP($A32,'liste reference'!$B$6:$B$1174,1,0)),"",VLOOKUP($A32,'liste reference'!$B$6:$B$1174,1,0)),VLOOKUP($A32,'liste reference'!$A$6:$B$1174,2,0))</f>
        <v>Fontinalis antipyretica</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antipyretica</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1310</v>
      </c>
      <c r="R32" s="484" t="n">
        <f aca="false">IF(ISTEXT(H32),"",(B32*$B$7/100)+(C32*$C$7/100))</f>
        <v>0.005</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FONANT</v>
      </c>
      <c r="Z32" s="470" t="n">
        <f aca="false">IF(ISERROR(MATCH(A32,'liste reference'!$A$6:$A$1174,0)),IF(ISERROR(MATCH(A32,'liste reference'!$B$6:$B$1174,0)),"",(MATCH(A32,'liste reference'!$B$6:$B$1174,0))),(MATCH(A32,'liste reference'!$A$6:$A$1174,0)))</f>
        <v>273</v>
      </c>
    </row>
    <row r="33" customFormat="false" ht="12.75" hidden="false" customHeight="false" outlineLevel="0" collapsed="false">
      <c r="A33" s="489" t="s">
        <v>936</v>
      </c>
      <c r="B33" s="490" t="n">
        <v>0.005</v>
      </c>
      <c r="C33" s="491"/>
      <c r="D33" s="492" t="str">
        <f aca="false">IF(ISERROR(VLOOKUP($A33,'liste reference'!$A$6:$B$1174,2,0)),IF(ISERROR(VLOOKUP($A33,'liste reference'!$B$6:$B$1174,1,0)),"",VLOOKUP($A33,'liste reference'!$B$6:$B$1174,1,0)),VLOOKUP($A33,'liste reference'!$A$6:$B$1174,2,0))</f>
        <v>Hygrohypnum luridum</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19</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Hygrohypnum luridum</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1240</v>
      </c>
      <c r="R33" s="484" t="n">
        <f aca="false">IF(ISTEXT(H33),"",(B33*$B$7/100)+(C33*$C$7/100))</f>
        <v>0.005</v>
      </c>
      <c r="S33" s="485" t="n">
        <f aca="false">IF(OR(ISTEXT(H33),R33=0),"",IF(R33&lt;0.1,1,IF(R33&lt;1,2,IF(R33&lt;10,3,IF(R33&lt;50,4,IF(R33&gt;=50,5,""))))))</f>
        <v>1</v>
      </c>
      <c r="T33" s="485" t="n">
        <f aca="false">IF(ISERROR(S33*J33),0,S33*J33)</f>
        <v>19</v>
      </c>
      <c r="U33" s="485" t="n">
        <f aca="false">IF(ISERROR(S33*J33*K33),0,S33*J33*K33)</f>
        <v>57</v>
      </c>
      <c r="V33" s="501" t="n">
        <f aca="false">IF(ISERROR(S33*K33),0,S33*K33)</f>
        <v>3</v>
      </c>
      <c r="W33" s="502"/>
      <c r="X33" s="503"/>
      <c r="Y33" s="488" t="str">
        <f aca="false">IF(AND(ISNUMBER(F33),OR(A33="",A33="!!!!!!")),"!!!!!!",IF(A33="new.cod","NEWCOD",IF(AND((Z33=""),ISTEXT(A33),A33&lt;&gt;"!!!!!!"),A33,IF(Z33="","",INDEX('liste reference'!$A$6:$A$1174,Z33)))))</f>
        <v>HYGLUR</v>
      </c>
      <c r="Z33" s="470" t="n">
        <f aca="false">IF(ISERROR(MATCH(A33,'liste reference'!$A$6:$A$1174,0)),IF(ISERROR(MATCH(A33,'liste reference'!$B$6:$B$1174,0)),"",(MATCH(A33,'liste reference'!$B$6:$B$1174,0))),(MATCH(A33,'liste reference'!$A$6:$A$1174,0)))</f>
        <v>287</v>
      </c>
    </row>
    <row r="34" customFormat="false" ht="12.75" hidden="false" customHeight="false" outlineLevel="0" collapsed="false">
      <c r="A34" s="489" t="s">
        <v>965</v>
      </c>
      <c r="B34" s="490" t="n">
        <v>0.005</v>
      </c>
      <c r="C34" s="491"/>
      <c r="D34" s="492" t="str">
        <f aca="false">IF(ISERROR(VLOOKUP($A34,'liste reference'!$A$6:$B$1174,2,0)),IF(ISERROR(VLOOKUP($A34,'liste reference'!$B$6:$B$1174,1,0)),"",VLOOKUP($A34,'liste reference'!$B$6:$B$1174,1,0)),VLOOKUP($A34,'liste reference'!$A$6:$B$1174,2,0))</f>
        <v>Kindbergia praelonga</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Kindbergia praelonga</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30014</v>
      </c>
      <c r="R34" s="484" t="n">
        <f aca="false">IF(ISTEXT(H34),"",(B34*$B$7/100)+(C34*$C$7/100))</f>
        <v>0.005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KINPRA</v>
      </c>
      <c r="Z34" s="470" t="n">
        <f aca="false">IF(ISERROR(MATCH(A34,'liste reference'!$A$6:$A$1174,0)),IF(ISERROR(MATCH(A34,'liste reference'!$B$6:$B$1174,0)),"",(MATCH(A34,'liste reference'!$B$6:$B$1174,0))),(MATCH(A34,'liste reference'!$A$6:$A$1174,0)))</f>
        <v>297</v>
      </c>
    </row>
    <row r="35" customFormat="false" ht="12.75" hidden="false" customHeight="false" outlineLevel="0" collapsed="false">
      <c r="A35" s="489" t="s">
        <v>1104</v>
      </c>
      <c r="B35" s="490" t="n">
        <v>0.005</v>
      </c>
      <c r="C35" s="491"/>
      <c r="D35" s="492" t="str">
        <f aca="false">IF(ISERROR(VLOOKUP($A35,'liste reference'!$A$6:$B$1174,2,0)),IF(ISERROR(VLOOKUP($A35,'liste reference'!$B$6:$B$1174,1,0)),"",VLOOKUP($A35,'liste reference'!$B$6:$B$1174,1,0)),VLOOKUP($A35,'liste reference'!$A$6:$B$1174,2,0))</f>
        <v>Rhizomnium magnifolium</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Rhizomnium magnifolium</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19989</v>
      </c>
      <c r="R35" s="484" t="n">
        <f aca="false">IF(ISTEXT(H35),"",(B35*$B$7/100)+(C35*$C$7/100))</f>
        <v>0.005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RHZMAG</v>
      </c>
      <c r="Z35" s="470" t="n">
        <f aca="false">IF(ISERROR(MATCH(A35,'liste reference'!$A$6:$A$1174,0)),IF(ISERROR(MATCH(A35,'liste reference'!$B$6:$B$1174,0)),"",(MATCH(A35,'liste reference'!$B$6:$B$1174,0))),(MATCH(A35,'liste reference'!$A$6:$A$1174,0)))</f>
        <v>339</v>
      </c>
    </row>
    <row r="36" customFormat="false" ht="12.75" hidden="false" customHeight="false" outlineLevel="0" collapsed="false">
      <c r="A36" s="489" t="s">
        <v>1201</v>
      </c>
      <c r="B36" s="490" t="n">
        <v>0.02</v>
      </c>
      <c r="C36" s="491"/>
      <c r="D36" s="492" t="str">
        <f aca="false">IF(ISERROR(VLOOKUP($A36,'liste reference'!$A$6:$B$1174,2,0)),IF(ISERROR(VLOOKUP($A36,'liste reference'!$B$6:$B$1174,1,0)),"",VLOOKUP($A36,'liste reference'!$B$6:$B$1174,1,0)),VLOOKUP($A36,'liste reference'!$A$6:$B$1174,2,0))</f>
        <v>Thamnobryum alopecurum</v>
      </c>
      <c r="E36" s="493" t="e">
        <f aca="false">IF(D36="",0,VLOOKUP(D36,D$22:D35,1,0))</f>
        <v>#N/A</v>
      </c>
      <c r="F36" s="494" t="n">
        <f aca="false">IF(AND(OR(A36="",A36="!!!!!!"),B36="",C36=""),"",IF(OR(AND(B36="",C36=""),ISERROR(C36+B36)),"!!!",($B36*$B$7+$C36*$C$7)/100))</f>
        <v>0.02</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Thamnobryum alopecurum</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1344</v>
      </c>
      <c r="R36" s="484" t="n">
        <f aca="false">IF(ISTEXT(H36),"",(B36*$B$7/100)+(C36*$C$7/100))</f>
        <v>0.02</v>
      </c>
      <c r="S36" s="485" t="n">
        <f aca="false">IF(OR(ISTEXT(H36),R36=0),"",IF(R36&lt;0.1,1,IF(R36&lt;1,2,IF(R36&lt;10,3,IF(R36&lt;50,4,IF(R36&gt;=50,5,""))))))</f>
        <v>1</v>
      </c>
      <c r="T36" s="485" t="n">
        <f aca="false">IF(ISERROR(S36*J36),0,S36*J36)</f>
        <v>15</v>
      </c>
      <c r="U36" s="485" t="n">
        <f aca="false">IF(ISERROR(S36*J36*K36),0,S36*J36*K36)</f>
        <v>30</v>
      </c>
      <c r="V36" s="501" t="n">
        <f aca="false">IF(ISERROR(S36*K36),0,S36*K36)</f>
        <v>2</v>
      </c>
      <c r="W36" s="502"/>
      <c r="X36" s="503"/>
      <c r="Y36" s="488" t="str">
        <f aca="false">IF(AND(ISNUMBER(F36),OR(A36="",A36="!!!!!!")),"!!!!!!",IF(A36="new.cod","NEWCOD",IF(AND((Z36=""),ISTEXT(A36),A36&lt;&gt;"!!!!!!"),A36,IF(Z36="","",INDEX('liste reference'!$A$6:$A$1174,Z36)))))</f>
        <v>THAALO</v>
      </c>
      <c r="Z36" s="470" t="n">
        <f aca="false">IF(ISERROR(MATCH(A36,'liste reference'!$A$6:$A$1174,0)),IF(ISERROR(MATCH(A36,'liste reference'!$B$6:$B$1174,0)),"",(MATCH(A36,'liste reference'!$B$6:$B$1174,0))),(MATCH(A36,'liste reference'!$A$6:$A$1174,0)))</f>
        <v>368</v>
      </c>
    </row>
    <row r="37" customFormat="false" ht="12.75" hidden="false" customHeight="false" outlineLevel="0" collapsed="false">
      <c r="A37" s="489" t="s">
        <v>1263</v>
      </c>
      <c r="B37" s="490" t="n">
        <v>0.005</v>
      </c>
      <c r="C37" s="491"/>
      <c r="D37" s="492" t="str">
        <f aca="false">IF(ISERROR(VLOOKUP($A37,'liste reference'!$A$6:$B$1174,2,0)),IF(ISERROR(VLOOKUP($A37,'liste reference'!$B$6:$B$1174,1,0)),"",VLOOKUP($A37,'liste reference'!$B$6:$B$1174,1,0)),VLOOKUP($A37,'liste reference'!$A$6:$B$1174,2,0))</f>
        <v>Equisetum hyemale</v>
      </c>
      <c r="E37" s="493" t="e">
        <f aca="false">IF(D37="",0,VLOOKUP(D37,D$22:D36,1,0))</f>
        <v>#N/A</v>
      </c>
      <c r="F37" s="494" t="n">
        <f aca="false">IF(AND(OR(A37="",A37="!!!!!!"),B37="",C37=""),"",IF(OR(AND(B37="",C37=""),ISERROR(C37+B37)),"!!!",($B37*$B$7+$C37*$C$7)/100))</f>
        <v>0.005</v>
      </c>
      <c r="G37" s="495" t="str">
        <f aca="false">IF(A37="","",IF(ISERROR(VLOOKUP($A37,'liste reference'!$A$6:$Q$1174,9,0)),IF(ISERROR(VLOOKUP($A37,'liste reference'!$B$6:$Q$1174,8,0)),"    -",VLOOKUP($A37,'liste reference'!$B$6:$Q$1174,8,0)),VLOOKUP($A37,'liste reference'!$A$6:$Q$1174,9,0)))</f>
        <v>PTE</v>
      </c>
      <c r="H37" s="496" t="n">
        <f aca="false">IF(A37="","x",IF(ISERROR(VLOOKUP($A37,'liste reference'!$A$6:$Q$1174,10,0)),IF(ISERROR(VLOOKUP($A37,'liste reference'!$B$6:$Q$1174,9,0)),"x",VLOOKUP($A37,'liste reference'!$B$6:$Q$1174,9,0)),VLOOKUP($A37,'liste reference'!$A$6:$Q$1174,10,0)))</f>
        <v>6</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hyemale</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29991</v>
      </c>
      <c r="R37" s="484" t="n">
        <f aca="false">IF(ISTEXT(H37),"",(B37*$B$7/100)+(C37*$C$7/100))</f>
        <v>0.005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EQUHYE</v>
      </c>
      <c r="Z37" s="470" t="n">
        <f aca="false">IF(ISERROR(MATCH(A37,'liste reference'!$A$6:$A$1174,0)),IF(ISERROR(MATCH(A37,'liste reference'!$B$6:$B$1174,0)),"",(MATCH(A37,'liste reference'!$B$6:$B$1174,0))),(MATCH(A37,'liste reference'!$A$6:$A$1174,0)))</f>
        <v>387</v>
      </c>
    </row>
    <row r="38" customFormat="false" ht="12.75" hidden="false" customHeight="false" outlineLevel="0" collapsed="false">
      <c r="A38" s="489" t="s">
        <v>3252</v>
      </c>
      <c r="B38" s="490" t="n">
        <v>0.005</v>
      </c>
      <c r="C38" s="491"/>
      <c r="D38" s="492" t="str">
        <f aca="false">IF(ISERROR(VLOOKUP($A38,'liste reference'!$A$6:$B$1174,2,0)),IF(ISERROR(VLOOKUP($A38,'liste reference'!$B$6:$B$1174,1,0)),"",VLOOKUP($A38,'liste reference'!$B$6:$B$1174,1,0)),VLOOKUP($A38,'liste reference'!$A$6:$B$1174,2,0))</f>
        <v>Ranunculus repens</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PHx</v>
      </c>
      <c r="H38" s="496" t="n">
        <f aca="false">IF(A38="","x",IF(ISERROR(VLOOKUP($A38,'liste reference'!$A$6:$Q$1174,10,0)),IF(ISERROR(VLOOKUP($A38,'liste reference'!$B$6:$Q$1174,9,0)),"x",VLOOKUP($A38,'liste reference'!$B$6:$Q$1174,9,0)),VLOOKUP($A38,'liste reference'!$A$6:$Q$1174,10,0)))</f>
        <v>10</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repens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1910</v>
      </c>
      <c r="R38" s="484" t="n">
        <f aca="false">IF(ISTEXT(H38),"",(B38*$B$7/100)+(C38*$C$7/100))</f>
        <v>0.005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RANREP</v>
      </c>
      <c r="Z38" s="470" t="n">
        <f aca="false">IF(ISERROR(MATCH(A38,'liste reference'!$A$6:$A$1174,0)),IF(ISERROR(MATCH(A38,'liste reference'!$B$6:$B$1174,0)),"",(MATCH(A38,'liste reference'!$B$6:$B$1174,0))),(MATCH(A38,'liste reference'!$A$6:$A$1174,0)))</f>
        <v>1128</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2.165</v>
      </c>
      <c r="G83" s="424"/>
      <c r="H83" s="424"/>
      <c r="I83" s="424"/>
      <c r="J83" s="424"/>
      <c r="K83" s="424"/>
      <c r="L83" s="424"/>
      <c r="M83" s="485"/>
      <c r="N83" s="485"/>
      <c r="O83" s="485"/>
      <c r="P83" s="485"/>
      <c r="Q83" s="485"/>
      <c r="R83" s="485"/>
      <c r="S83" s="485"/>
      <c r="T83" s="485"/>
      <c r="U83" s="485"/>
      <c r="V83" s="485" t="n">
        <f aca="false">SUM(V23:V82)</f>
        <v>34</v>
      </c>
      <c r="W83" s="485"/>
      <c r="X83" s="523"/>
      <c r="Y83" s="523"/>
      <c r="Z83" s="524"/>
    </row>
    <row r="84" customFormat="false" ht="12.75" hidden="true" customHeight="false" outlineLevel="0" collapsed="false">
      <c r="A84" s="518" t="str">
        <f aca="false">A3</f>
        <v>AUDE</v>
      </c>
      <c r="B84" s="453" t="str">
        <f aca="false">C3</f>
        <v>AUDE A ESCOULOUBRE 1</v>
      </c>
      <c r="C84" s="525" t="str">
        <f aca="false">A4</f>
        <v>(Date)</v>
      </c>
      <c r="D84" s="526" t="n">
        <f aca="false">IF(OR(ISERROR(SUM($U$23:$U$82)/SUM($V$23:$V$82)),F7&lt;&gt;100),-1,SUM($U$23:$U$82)/SUM($V$23:$V$82))</f>
        <v>15.2647058823529</v>
      </c>
      <c r="E84" s="527" t="n">
        <f aca="false">O13</f>
        <v>16</v>
      </c>
      <c r="F84" s="453" t="n">
        <f aca="false">O14</f>
        <v>11</v>
      </c>
      <c r="G84" s="453" t="n">
        <f aca="false">O15</f>
        <v>1</v>
      </c>
      <c r="H84" s="453" t="n">
        <f aca="false">O16</f>
        <v>8</v>
      </c>
      <c r="I84" s="453" t="n">
        <f aca="false">O17</f>
        <v>2</v>
      </c>
      <c r="J84" s="528" t="n">
        <f aca="false">O8</f>
        <v>14.4545454545455</v>
      </c>
      <c r="K84" s="529" t="n">
        <f aca="false">O9</f>
        <v>2.49958674270319</v>
      </c>
      <c r="L84" s="530" t="n">
        <f aca="false">O10</f>
        <v>10</v>
      </c>
      <c r="M84" s="530" t="n">
        <f aca="false">O11</f>
        <v>19</v>
      </c>
      <c r="N84" s="529" t="n">
        <f aca="false">P8</f>
        <v>2.09090909090909</v>
      </c>
      <c r="O84" s="529" t="n">
        <f aca="false">P9</f>
        <v>0.51425947722658</v>
      </c>
      <c r="P84" s="530" t="n">
        <f aca="false">P10</f>
        <v>1</v>
      </c>
      <c r="Q84" s="530" t="n">
        <f aca="false">P11</f>
        <v>3</v>
      </c>
      <c r="R84" s="530" t="n">
        <f aca="false">F21</f>
        <v>2.165</v>
      </c>
      <c r="S84" s="530" t="n">
        <f aca="false">L11</f>
        <v>0</v>
      </c>
      <c r="T84" s="530" t="n">
        <f aca="false">L12</f>
        <v>3</v>
      </c>
      <c r="U84" s="530" t="n">
        <f aca="false">L13</f>
        <v>11</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45</v>
      </c>
      <c r="U87" s="281"/>
      <c r="V87" s="281"/>
    </row>
    <row r="88" customFormat="false" ht="12.75" hidden="true" customHeight="false" outlineLevel="0" collapsed="false">
      <c r="C88" s="534"/>
      <c r="D88" s="534"/>
      <c r="E88" s="534"/>
      <c r="R88" s="281" t="s">
        <v>3450</v>
      </c>
      <c r="S88" s="281"/>
      <c r="T88" s="536" t="n">
        <f aca="false">VLOOKUP($T$91,($A$23:$U$82),21,0)</f>
        <v>90</v>
      </c>
      <c r="U88" s="281"/>
      <c r="V88" s="281" t="n">
        <f aca="false">COUNTIF(V23:V82,T89)</f>
        <v>2</v>
      </c>
    </row>
    <row r="89" customFormat="false" ht="12.75" hidden="true" customHeight="false" outlineLevel="0" collapsed="false">
      <c r="C89" s="534"/>
      <c r="D89" s="534"/>
      <c r="E89" s="534"/>
      <c r="R89" s="281" t="s">
        <v>3451</v>
      </c>
      <c r="S89" s="281"/>
      <c r="T89" s="536" t="n">
        <f aca="false">MAX($V$23:$V$82)</f>
        <v>6</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15.3214285714286</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3454</v>
      </c>
      <c r="S92" s="281"/>
      <c r="T92" s="281" t="n">
        <f aca="false">MATCH(T89,$V$23:$V$82,0)</f>
        <v>2</v>
      </c>
      <c r="U92" s="281"/>
    </row>
    <row r="93" customFormat="false" ht="12.75" hidden="true" customHeight="false" outlineLevel="0" collapsed="false">
      <c r="C93" s="534"/>
      <c r="D93" s="534"/>
      <c r="E93" s="534"/>
      <c r="R93" s="485" t="s">
        <v>3455</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NA()</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3401</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2017-05-11T15:40:44Z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