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Lauquet" sheetId="6" state="visible" r:id="rId8"/>
    <sheet name="modele" sheetId="7" state="hidden" r:id="rId9"/>
    <sheet name="liste codes réf" sheetId="8" state="hidden" r:id="rId10"/>
  </sheets>
  <definedNames>
    <definedName function="false" hidden="false" localSheetId="5" name="_xlnm.Print_Area" vbProcedure="false">Lauquet!$A$1:$O$82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Lauquet!$A$23:$J$84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<sst xmlns="http://schemas.openxmlformats.org/spreadsheetml/2006/main" count="7366" uniqueCount="2731">
  <si>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</si>
  <si>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</si>
  <si>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</si>
  <si>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</si>
  <si>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</si>
  <si>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</si>
  <si>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</si>
  <si>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</si>
  <si>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</si>
  <si>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</si>
  <si>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</si>
  <si>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</si>
  <si>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</si>
  <si>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</si>
  <si>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</si>
  <si>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</si>
  <si>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</si>
  <si>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</si>
  <si>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</si>
  <si>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</si>
  <si>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</si>
  <si>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</si>
  <si>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</si>
  <si>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</si>
  <si>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</si>
  <si>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</si>
  <si>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</si>
  <si>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</si>
  <si>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</si>
  <si>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</si>
  <si>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</si>
  <si>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</si>
  <si>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</si>
  <si>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</si>
  <si>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</si>
  <si>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</si>
  <si>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</si>
  <si>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</si>
  <si>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</si>
  <si>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</si>
  <si>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</si>
  <si>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</si>
  <si>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</si>
  <si>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</si>
  <si>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</si>
  <si>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</si>
  <si>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</si>
  <si>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</si>
  <si>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</si>
  <si>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</si>
  <si>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</si>
  <si>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</si>
  <si>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</si>
  <si>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</si>
  <si>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</si>
  <si>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</si>
  <si>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</si>
  <si>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</si>
  <si>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</si>
  <si>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</si>
  <si>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</si>
  <si>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</si>
  <si>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</si>
  <si>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</si>
  <si>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</si>
  <si>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</si>
  <si>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</si>
  <si>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</si>
  <si>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</si>
  <si>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</si>
  <si>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</si>
  <si>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</si>
  <si>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</si>
  <si>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</si>
  <si>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</si>
  <si>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</si>
  <si>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</si>
  <si>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</si>
  <si>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</si>
  <si>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</si>
  <si>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</si>
  <si>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</si>
  <si>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</si>
  <si>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</si>
  <si>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</si>
  <si>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</si>
  <si>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</si>
  <si>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</si>
  <si>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</si>
  <si>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</si>
  <si>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</si>
  <si>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</si>
  <si>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</si>
  <si>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</si>
  <si>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</si>
  <si>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</si>
  <si>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</si>
  <si>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</si>
  <si>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</si>
  <si>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</si>
  <si>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</si>
  <si>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</si>
  <si>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</si>
  <si>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</si>
  <si>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</si>
  <si>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</si>
  <si>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</si>
  <si>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</si>
  <si>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</si>
  <si>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</si>
  <si>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</si>
  <si>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</si>
  <si>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</si>
  <si>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</si>
  <si>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</si>
  <si>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</si>
  <si>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</si>
  <si>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</si>
  <si>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</si>
  <si>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</si>
  <si>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</si>
  <si>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</si>
  <si>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</si>
  <si>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</si>
  <si>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</si>
  <si>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</si>
  <si>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</si>
  <si>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</si>
  <si>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</si>
  <si>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</si>
  <si>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</si>
  <si>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</si>
  <si>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</si>
  <si>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</si>
  <si>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</si>
  <si>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</si>
  <si>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</si>
  <si>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</si>
  <si>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</si>
  <si>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</si>
  <si>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</si>
  <si>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</si>
  <si>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</si>
  <si>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</si>
  <si>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</si>
  <si>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</si>
  <si>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</si>
  <si>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</si>
  <si>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</si>
  <si>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</si>
  <si>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</si>
  <si>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</si>
  <si>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</si>
  <si>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</si>
  <si>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</si>
  <si>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</si>
  <si>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</si>
  <si>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</si>
  <si>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</si>
  <si>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</si>
  <si>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</si>
  <si>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</si>
  <si>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</si>
  <si>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</si>
  <si>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</si>
  <si>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</si>
  <si>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</si>
  <si>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</si>
  <si>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</si>
  <si>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</si>
  <si>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</si>
  <si>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</si>
  <si>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</si>
  <si>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</si>
  <si>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</si>
  <si>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</si>
  <si>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</si>
  <si>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</si>
  <si>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</si>
  <si>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</si>
  <si>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</si>
  <si>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</si>
  <si>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</si>
  <si>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</si>
  <si>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</si>
  <si>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</si>
  <si>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</si>
  <si>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</si>
  <si>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</si>
  <si>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</si>
  <si>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</si>
  <si>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</si>
  <si>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</si>
  <si>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</si>
  <si>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</si>
  <si>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</si>
  <si>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</si>
  <si>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</si>
  <si>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</si>
  <si>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</si>
  <si>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</si>
  <si>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</si>
  <si>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</si>
  <si>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</si>
  <si>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</si>
  <si>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</si>
  <si>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</si>
  <si>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</si>
  <si>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</si>
  <si>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</si>
  <si>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</si>
  <si>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</si>
  <si>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</si>
  <si>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</si>
  <si>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</si>
  <si>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</si>
  <si>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</si>
  <si>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</si>
  <si>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</si>
  <si>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</si>
  <si>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</si>
  <si>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</si>
  <si>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</si>
  <si>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</si>
  <si>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</si>
  <si>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</si>
  <si>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</si>
  <si>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</si>
  <si>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</si>
  <si>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</si>
  <si>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</si>
  <si>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</si>
  <si>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</si>
  <si>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</si>
  <si>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</si>
  <si>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</si>
  <si>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</si>
  <si>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</si>
  <si>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</si>
  <si>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</si>
  <si>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</si>
  <si>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</si>
  <si>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</si>
  <si>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</si>
  <si>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</si>
  <si>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</si>
  <si>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</si>
  <si>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</si>
  <si>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</si>
  <si>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</si>
  <si>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</si>
  <si>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</si>
  <si>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</si>
  <si>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</si>
  <si>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</si>
  <si>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</si>
  <si>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</si>
  <si>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</si>
  <si>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</si>
  <si>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</si>
  <si>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</si>
  <si>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</si>
  <si>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</si>
  <si>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</si>
  <si>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</si>
  <si>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</si>
  <si>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</si>
  <si>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</si>
  <si>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</si>
  <si>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</si>
  <si>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</si>
  <si>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</si>
  <si>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</si>
  <si>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</si>
  <si>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</si>
  <si>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</si>
  <si>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</si>
  <si>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</si>
  <si>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</si>
  <si>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</si>
  <si>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</si>
  <si>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</si>
  <si>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</si>
  <si>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</si>
  <si>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</si>
  <si>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</si>
  <si>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</si>
  <si>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</si>
  <si>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</si>
  <si>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</si>
  <si>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</si>
  <si>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</si>
  <si>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</si>
  <si>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</si>
  <si>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</si>
  <si>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</si>
  <si>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</si>
  <si>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</si>
  <si>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</si>
  <si>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</si>
  <si>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</si>
  <si>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</si>
  <si>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</si>
  <si>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</si>
  <si>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</si>
  <si>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</si>
  <si>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</si>
  <si>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</si>
  <si>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</si>
  <si>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</si>
  <si>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</si>
  <si>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</si>
  <si>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</si>
  <si>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</si>
  <si>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</si>
  <si>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</si>
  <si>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</si>
  <si>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</si>
  <si>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</si>
  <si>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</si>
  <si>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</si>
  <si>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</si>
  <si>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</si>
  <si>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</si>
  <si>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</si>
  <si>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</si>
  <si>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</si>
  <si>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</si>
  <si>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</si>
  <si>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</si>
  <si>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</si>
  <si>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</si>
  <si>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</si>
  <si>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</si>
  <si>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</si>
  <si>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</si>
  <si>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</si>
  <si>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</si>
  <si>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</si>
  <si>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</si>
  <si>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</si>
  <si>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</si>
  <si>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</si>
  <si>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</si>
  <si>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</si>
  <si>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</si>
  <si>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</si>
  <si>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</si>
  <si>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</si>
  <si>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</si>
  <si>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</si>
  <si>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</si>
  <si>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</si>
  <si>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</si>
  <si>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</si>
  <si>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</si>
  <si>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</si>
  <si>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</si>
  <si>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</si>
  <si>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</si>
  <si>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</si>
  <si>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</si>
  <si>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</si>
  <si>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</si>
  <si>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</si>
  <si>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</si>
  <si>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</si>
  <si>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</si>
  <si>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</si>
  <si>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</si>
  <si>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</si>
  <si>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</si>
  <si>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</si>
  <si>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</si>
  <si>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</si>
  <si>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</si>
  <si>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</si>
  <si>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</si>
  <si>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</si>
  <si>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</si>
  <si>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</si>
  <si>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</si>
  <si>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</si>
  <si>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</si>
  <si>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</si>
  <si>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</si>
  <si>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</si>
  <si>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</si>
  <si>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</si>
  <si>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</si>
  <si>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</si>
  <si>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</si>
  <si>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</si>
  <si>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</si>
  <si>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</si>
  <si>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</si>
  <si>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</si>
  <si>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</si>
  <si>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</si>
  <si>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</si>
  <si>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</si>
  <si>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</si>
  <si>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</si>
  <si>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</si>
  <si>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</si>
  <si>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</si>
  <si>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</si>
  <si>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</si>
  <si>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</si>
  <si>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</si>
  <si>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</si>
  <si>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</si>
  <si>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</si>
  <si>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</si>
  <si>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</si>
  <si>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</si>
  <si>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</si>
  <si>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</si>
  <si>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</si>
  <si>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</si>
  <si>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</si>
  <si>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</si>
  <si>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</si>
  <si>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</si>
  <si>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</si>
  <si>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</si>
  <si>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</si>
  <si>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</si>
  <si>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</si>
  <si>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</si>
  <si>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</si>
  <si>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</si>
  <si>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</si>
  <si>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</si>
  <si>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</si>
  <si>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</si>
  <si>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</si>
  <si>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</si>
  <si>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</si>
  <si>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</si>
  <si>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</si>
  <si>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</si>
  <si>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</si>
  <si>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</si>
  <si>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</si>
  <si>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</si>
  <si>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</si>
  <si>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</si>
  <si>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</si>
  <si>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</si>
  <si>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</si>
  <si>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</si>
  <si>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</si>
  <si>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</si>
  <si>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</si>
  <si>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</si>
  <si>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</si>
  <si>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</si>
  <si>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</si>
  <si>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</si>
  <si>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</si>
  <si>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</si>
  <si>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</si>
  <si>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</si>
  <si>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</si>
  <si>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</si>
  <si>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</si>
  <si>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</si>
  <si>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</si>
  <si>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</si>
  <si>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</si>
  <si>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</si>
  <si>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</si>
  <si>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</si>
  <si>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</si>
  <si>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</si>
  <si>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</si>
  <si>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</si>
  <si>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</si>
  <si>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</si>
  <si>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</si>
  <si>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</si>
  <si>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</si>
  <si>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</si>
  <si>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</si>
  <si>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</si>
  <si>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</si>
  <si>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</si>
  <si>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</si>
  <si>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</si>
  <si>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</si>
  <si>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</si>
  <si>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</si>
  <si>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</si>
  <si>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</si>
  <si>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</si>
  <si>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</si>
  <si>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</si>
  <si>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</si>
  <si>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</si>
  <si>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</si>
  <si>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</si>
  <si>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</si>
  <si>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</si>
  <si>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</si>
  <si>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</si>
  <si>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</si>
  <si>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</si>
  <si>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</si>
  <si>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</si>
  <si>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</si>
  <si>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</si>
  <si>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</si>
  <si>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</si>
  <si>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</si>
  <si>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</si>
  <si>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</si>
  <si>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</si>
  <si>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</si>
  <si>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</si>
  <si>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</si>
  <si>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</si>
  <si>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</si>
  <si>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</si>
  <si>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</si>
  <si>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</si>
  <si>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</si>
  <si>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</si>
  <si>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</si>
  <si>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</si>
  <si>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</si>
  <si>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</si>
  <si>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</si>
  <si>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</si>
  <si>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</si>
  <si>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</si>
  <si>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</si>
  <si>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</si>
  <si>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</si>
  <si>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</si>
  <si>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</si>
  <si>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</si>
  <si>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</si>
  <si>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</si>
  <si>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</si>
  <si>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</si>
  <si>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</si>
  <si>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</si>
  <si>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</si>
  <si>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</si>
  <si>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</si>
  <si>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</si>
  <si>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</si>
  <si>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</si>
  <si>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</si>
  <si>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</si>
  <si>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</si>
  <si>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</si>
  <si>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</si>
  <si>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</si>
  <si>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</si>
  <si>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</si>
  <si>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</si>
  <si>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</si>
  <si>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</si>
  <si>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</si>
  <si>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</si>
  <si>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</si>
  <si>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</si>
  <si>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</si>
  <si>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</si>
  <si>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</si>
  <si>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</si>
  <si>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</si>
  <si>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</si>
  <si>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</si>
  <si>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</si>
  <si>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</si>
  <si>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</si>
  <si>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</si>
  <si>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</si>
  <si>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</si>
  <si>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</si>
  <si>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</si>
  <si>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</si>
  <si>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</si>
  <si>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</si>
  <si>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</si>
  <si>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</si>
  <si>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</si>
  <si>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</si>
  <si>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</si>
  <si>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</si>
  <si>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</si>
  <si>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</si>
  <si>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</si>
  <si>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</si>
  <si>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</si>
  <si>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</si>
  <si>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</si>
  <si>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</si>
  <si>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</si>
  <si>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</si>
  <si>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</si>
  <si>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</si>
  <si>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</si>
  <si>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</si>
  <si>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</si>
  <si>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</si>
  <si>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</si>
  <si>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</si>
  <si>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</si>
  <si>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</si>
  <si>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</si>
  <si>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</si>
  <si>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</si>
  <si>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</si>
  <si>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</si>
  <si>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</si>
  <si>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</si>
  <si>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</si>
  <si>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</si>
  <si>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</si>
  <si>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</si>
  <si>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</si>
  <si>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</si>
  <si>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</si>
  <si>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</si>
  <si>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</si>
  <si>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</si>
  <si>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</si>
  <si>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</si>
  <si>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</si>
  <si>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</si>
  <si>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</si>
  <si>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</si>
  <si>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</si>
  <si>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</si>
  <si>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</si>
  <si>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</si>
  <si>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</si>
  <si>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</si>
  <si>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</si>
  <si>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</si>
  <si>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</si>
  <si>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</si>
  <si>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</si>
  <si>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</si>
  <si>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</si>
  <si>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</si>
  <si>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</si>
  <si>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</si>
  <si>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</si>
  <si>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</si>
  <si>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</si>
  <si>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</si>
  <si>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</si>
  <si>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</si>
  <si>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</si>
  <si>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</si>
  <si>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</si>
  <si>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</si>
  <si>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</si>
  <si>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</si>
  <si>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</si>
  <si>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</si>
  <si>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</si>
  <si>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</si>
  <si>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</si>
  <si>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</si>
  <si>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</si>
  <si>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</si>
  <si>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</si>
  <si>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</si>
  <si>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</si>
  <si>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</si>
  <si>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</si>
  <si>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</si>
  <si>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</si>
  <si>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</si>
  <si>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</si>
  <si>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</si>
  <si>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</si>
  <si>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</si>
  <si>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</si>
  <si>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</si>
  <si>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</si>
  <si>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</si>
  <si>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</si>
  <si>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</si>
  <si>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</si>
  <si>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</si>
  <si>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</si>
  <si>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</si>
  <si>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</si>
  <si>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</si>
  <si>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</si>
  <si>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</si>
  <si>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</si>
  <si>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</si>
  <si>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</si>
  <si>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</si>
  <si>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</si>
  <si>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</si>
  <si>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</si>
  <si>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</si>
  <si>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</si>
  <si>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</si>
  <si>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</si>
  <si>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</si>
  <si>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</si>
  <si>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</si>
  <si>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</si>
  <si>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</si>
  <si>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</si>
  <si>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</si>
  <si>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</si>
  <si>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</si>
  <si>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</si>
  <si>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</si>
  <si>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</si>
  <si>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</si>
  <si>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</si>
  <si>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</si>
  <si>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</si>
  <si>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</si>
  <si>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</si>
  <si>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</si>
  <si>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</si>
  <si>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</si>
  <si>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</si>
  <si>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</si>
  <si>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</si>
  <si>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</si>
  <si>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</si>
  <si>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</si>
  <si>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</si>
  <si>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</si>
  <si>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</si>
  <si>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</si>
  <si>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</si>
  <si>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</si>
  <si>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</si>
  <si>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</si>
  <si>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</si>
  <si>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</si>
  <si>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</si>
  <si>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</si>
  <si>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</si>
  <si>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</si>
  <si>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</si>
  <si>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</si>
  <si>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</si>
  <si>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</si>
  <si>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</si>
  <si>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</si>
  <si>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</si>
  <si>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</si>
  <si>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</si>
  <si>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</si>
  <si>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</si>
  <si>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</si>
  <si>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</si>
  <si>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</si>
  <si>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</si>
  <si>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</si>
  <si>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</si>
  <si>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</si>
  <si>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</si>
  <si>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</si>
  <si>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</si>
  <si>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</si>
  <si>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</si>
  <si>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</si>
  <si>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</si>
  <si>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</si>
  <si>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</si>
  <si>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</si>
  <si>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</si>
  <si>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</si>
  <si>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</si>
  <si>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</si>
  <si>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</si>
  <si>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</si>
  <si>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</si>
  <si>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</si>
  <si>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</si>
  <si>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</si>
  <si>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</si>
  <si>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</si>
  <si>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</si>
  <si>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</si>
  <si>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</si>
  <si>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</si>
  <si>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</si>
  <si>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</si>
  <si>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</si>
  <si>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</si>
  <si>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</si>
  <si>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</si>
  <si>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</si>
  <si>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</si>
  <si>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</si>
  <si>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</si>
  <si>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</si>
  <si>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</si>
  <si>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</si>
  <si>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</si>
  <si>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</si>
  <si>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</si>
  <si>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</si>
  <si>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</si>
  <si>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</si>
  <si>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</si>
  <si>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</si>
  <si>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</si>
  <si>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</si>
  <si>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</si>
  <si>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</si>
  <si>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</si>
  <si>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</si>
  <si>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</si>
  <si>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</si>
  <si>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</si>
  <si>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</si>
  <si>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</si>
  <si>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</si>
  <si>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</si>
  <si>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</si>
  <si>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</si>
  <si>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</si>
  <si>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</si>
  <si>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</si>
  <si>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</si>
  <si>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</si>
  <si>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</si>
  <si>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</si>
  <si>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</si>
  <si>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</si>
  <si>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</si>
  <si>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</si>
  <si>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</si>
  <si>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</si>
  <si>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</si>
  <si>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</si>
  <si>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</si>
  <si>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</si>
  <si>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</si>
  <si>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</si>
  <si>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</si>
  <si>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</si>
  <si>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</si>
  <si>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</si>
  <si>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</si>
  <si>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</si>
  <si>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</si>
  <si>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</si>
  <si>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</si>
  <si>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</si>
  <si>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</si>
  <si>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</si>
  <si>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</si>
  <si>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</si>
  <si>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</si>
  <si>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</si>
  <si>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</si>
  <si>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</si>
  <si>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</si>
  <si>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</si>
  <si>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</si>
  <si>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</si>
  <si>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</si>
  <si>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</si>
  <si>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</si>
  <si>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</si>
  <si>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</si>
  <si>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</si>
  <si>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</si>
  <si>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</si>
  <si>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</si>
  <si>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</si>
  <si>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</si>
  <si>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</si>
  <si>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</si>
  <si>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</si>
  <si>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</si>
  <si>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</si>
  <si>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</si>
  <si>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</si>
  <si>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</si>
  <si>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</si>
  <si>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</si>
  <si>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</si>
  <si>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</si>
  <si>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</si>
  <si>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</si>
  <si>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</si>
  <si>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</si>
  <si>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</si>
  <si>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</si>
  <si>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</si>
  <si>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</si>
  <si>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</si>
  <si>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</si>
  <si>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</si>
  <si>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</si>
  <si>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</si>
  <si>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</si>
  <si>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</si>
  <si>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</si>
  <si>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</si>
  <si>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</si>
  <si>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</si>
  <si>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</si>
  <si>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</si>
  <si>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</si>
  <si>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</si>
  <si>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</si>
  <si>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</si>
  <si>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</si>
  <si>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</si>
  <si>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</si>
  <si>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</si>
  <si>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</si>
  <si>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</si>
  <si>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</si>
  <si>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</si>
  <si>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</si>
  <si>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</si>
  <si>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</si>
  <si>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</si>
  <si>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</si>
  <si>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</si>
  <si>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</si>
  <si>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</si>
  <si>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</si>
  <si>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</si>
  <si>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</si>
  <si>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</si>
  <si>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</si>
  <si>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</si>
  <si>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</si>
  <si>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</si>
  <si>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</si>
  <si>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</si>
  <si>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</si>
  <si>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</si>
  <si>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</si>
  <si>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</si>
  <si>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</si>
  <si>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</si>
  <si>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</si>
  <si>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</si>
  <si>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</si>
  <si>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</si>
  <si>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</si>
  <si>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</si>
  <si>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</si>
  <si>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</si>
  <si>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</si>
  <si>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</si>
  <si>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</si>
  <si>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</si>
  <si>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</si>
  <si>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</si>
  <si>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</si>
  <si>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</si>
  <si>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</si>
  <si>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</si>
  <si>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</si>
  <si>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</si>
  <si>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</si>
  <si>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</si>
  <si>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</si>
  <si>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</si>
  <si>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</si>
  <si>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</si>
  <si>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</si>
  <si>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</si>
  <si>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</si>
  <si>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</si>
  <si>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</si>
  <si>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</si>
  <si>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</si>
  <si>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</si>
  <si>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</si>
  <si>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</si>
  <si>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</si>
  <si>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</si>
  <si>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</si>
  <si>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</si>
  <si>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</si>
  <si>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</si>
  <si>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</si>
  <si>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</si>
  <si>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</si>
  <si>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</si>
  <si>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</si>
  <si>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</si>
  <si>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</si>
  <si>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</si>
  <si>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</si>
  <si>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</si>
  <si>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</si>
  <si>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</si>
  <si>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</si>
  <si>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</si>
  <si>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</si>
  <si>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</si>
  <si>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</si>
  <si>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</si>
  <si>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</si>
  <si>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</si>
  <si>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</si>
  <si>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</si>
  <si>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</si>
  <si>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</si>
  <si>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</si>
  <si>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</si>
  <si>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</si>
  <si>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</si>
  <si>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</si>
  <si>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</si>
  <si>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</si>
  <si>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</si>
  <si>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</si>
  <si>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</si>
  <si>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</si>
  <si>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</si>
  <si>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</si>
  <si>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</si>
  <si>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</si>
  <si>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</si>
  <si>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</si>
  <si>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</si>
  <si>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</si>
  <si>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</si>
  <si>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</si>
  <si>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</si>
  <si>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</si>
  <si>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</si>
  <si>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</si>
  <si>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</si>
  <si>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</si>
  <si>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</si>
  <si>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</si>
  <si>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</si>
  <si>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</si>
  <si>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</si>
  <si>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</si>
  <si>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</si>
  <si>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</si>
  <si>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</si>
  <si>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</si>
  <si>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</si>
  <si>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</si>
  <si>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</si>
  <si>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</si>
  <si>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</si>
  <si>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</si>
  <si>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</si>
  <si>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</si>
  <si>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</si>
  <si>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</si>
  <si>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</si>
  <si>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</si>
  <si>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</si>
  <si>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</si>
  <si>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</si>
  <si>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</si>
  <si>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</si>
  <si>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</si>
  <si>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</si>
  <si>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</si>
  <si>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</si>
  <si>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</si>
  <si>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</si>
  <si>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</si>
  <si>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</si>
  <si>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</si>
  <si>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</si>
  <si>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</si>
  <si>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</si>
  <si>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</si>
  <si>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</si>
  <si>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</si>
  <si>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</si>
  <si>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</si>
  <si>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</si>
  <si>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</si>
  <si>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</si>
  <si>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</si>
  <si>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</si>
  <si>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</si>
  <si>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</si>
  <si>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</si>
  <si>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</si>
  <si>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</si>
  <si>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</si>
  <si>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</si>
  <si>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</si>
  <si>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</si>
  <si>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</si>
  <si>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</si>
  <si>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</si>
  <si>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</si>
  <si>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</si>
  <si>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</si>
  <si>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</si>
  <si>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</si>
  <si>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</si>
  <si>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</si>
  <si>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</si>
  <si>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</si>
  <si>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</si>
  <si>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</si>
  <si>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</si>
  <si>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</si>
  <si>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</si>
  <si>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</si>
  <si>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</si>
  <si>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</si>
  <si>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</si>
  <si>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</si>
  <si>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</si>
  <si>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</si>
  <si>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</si>
  <si>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</si>
  <si>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</si>
  <si>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</si>
  <si>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</si>
  <si>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</si>
  <si>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</si>
  <si>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</si>
  <si>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</si>
  <si>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</si>
  <si>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</si>
  <si>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</si>
  <si>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</si>
  <si>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</si>
  <si>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</si>
  <si>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</si>
  <si>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</si>
  <si>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</si>
  <si>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</si>
  <si>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</si>
  <si>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</si>
  <si>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</si>
  <si>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</si>
  <si>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</si>
  <si>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</si>
  <si>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</si>
  <si>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</si>
  <si>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</si>
  <si>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</si>
  <si>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</si>
  <si>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</si>
  <si>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</si>
  <si>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</si>
  <si>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</si>
  <si>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</si>
  <si>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</si>
  <si>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</si>
  <si>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</si>
  <si>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</si>
  <si>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</si>
  <si>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</si>
  <si>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</si>
  <si>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</si>
  <si>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</si>
  <si>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</si>
  <si>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</si>
  <si>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</si>
  <si>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</si>
  <si>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</si>
  <si>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</si>
  <si>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</si>
  <si>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</si>
  <si>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</si>
  <si>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</si>
  <si>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</si>
  <si>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</si>
  <si>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</si>
  <si>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</si>
  <si>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</si>
  <si>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</si>
  <si>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</si>
  <si>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</si>
  <si>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</si>
  <si>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</si>
  <si>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</si>
  <si>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</si>
  <si>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</si>
  <si>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</si>
  <si>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</si>
  <si>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</si>
  <si>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</si>
  <si>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</si>
  <si>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</si>
  <si>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</si>
  <si>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</si>
  <si>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</si>
  <si>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</si>
  <si>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</si>
  <si>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</si>
  <si>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</si>
  <si>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</si>
  <si>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</si>
  <si>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</si>
  <si>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</si>
  <si>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</si>
  <si>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</si>
  <si>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</si>
  <si>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</si>
  <si>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</si>
  <si>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</si>
  <si>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</si>
  <si>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</si>
  <si>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</si>
  <si>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</si>
  <si>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</si>
  <si>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</si>
  <si>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</si>
  <si>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</si>
  <si>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</si>
  <si>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</si>
  <si>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</si>
  <si>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</si>
  <si>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</si>
  <si>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</si>
  <si>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</si>
  <si>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</si>
  <si>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</si>
  <si>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</si>
  <si>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</si>
  <si>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</si>
  <si>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</si>
  <si>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</si>
  <si>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</si>
  <si>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</si>
  <si>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</si>
  <si>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</si>
  <si>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</si>
  <si>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</si>
  <si>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</si>
  <si>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</si>
  <si>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</si>
  <si>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</si>
  <si>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</si>
  <si>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</si>
  <si>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</si>
  <si>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</si>
  <si>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</si>
  <si>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</si>
  <si>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</si>
  <si>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</si>
  <si>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</si>
  <si>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</si>
  <si>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</si>
  <si>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</si>
  <si>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</si>
  <si>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</si>
  <si>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</si>
  <si>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</si>
  <si>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</si>
  <si>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</si>
  <si>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</si>
  <si>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</si>
  <si>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</si>
  <si>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</si>
  <si>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</si>
  <si>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</si>
  <si>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</si>
  <si>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</si>
  <si>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</si>
  <si>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</si>
  <si>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</si>
  <si>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</si>
  <si>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</si>
  <si>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</si>
  <si>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</si>
  <si>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</si>
  <si>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</si>
  <si>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</si>
  <si>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</si>
  <si>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</si>
  <si>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</si>
  <si>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</si>
  <si>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</si>
  <si>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</si>
  <si>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</si>
  <si>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</si>
  <si>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</si>
  <si>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</si>
  <si>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</si>
  <si>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</si>
  <si>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</si>
  <si>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</si>
  <si>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</si>
  <si>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</si>
  <si>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</si>
  <si>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</si>
  <si>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</si>
  <si>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</si>
  <si>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</si>
  <si>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</si>
  <si>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</si>
  <si>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</si>
  <si>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</si>
  <si>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</si>
  <si>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</si>
  <si>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</si>
  <si>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</si>
  <si>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</si>
  <si>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</si>
  <si>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</si>
  <si>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</si>
  <si>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</si>
  <si>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</si>
  <si>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</si>
  <si>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</si>
  <si>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</si>
  <si>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</si>
  <si>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</si>
  <si>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</si>
  <si>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</si>
  <si>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</si>
  <si>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</si>
  <si>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</si>
  <si>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</si>
  <si>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</si>
  <si>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</si>
  <si>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</si>
  <si>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</si>
  <si>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</si>
  <si>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</si>
  <si>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</si>
  <si>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</si>
  <si>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</si>
  <si>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</si>
  <si>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</si>
  <si>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</si>
  <si>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</si>
  <si>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</si>
  <si>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</si>
  <si>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</si>
  <si>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</si>
  <si>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</si>
  <si>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</si>
  <si>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</si>
  <si>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</si>
  <si>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</si>
  <si>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</si>
  <si>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</si>
  <si>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</si>
  <si>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</si>
  <si>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</si>
  <si>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</si>
  <si>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</si>
  <si>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</si>
  <si>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</si>
  <si>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</si>
  <si>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</si>
  <si>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</si>
  <si>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</si>
  <si>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</si>
  <si>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</si>
  <si>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</si>
  <si>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</si>
  <si>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</si>
  <si>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</si>
  <si>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</si>
  <si>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</si>
  <si>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</si>
  <si>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</si>
  <si>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</si>
  <si>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</si>
  <si>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</si>
  <si>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</si>
  <si>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</si>
  <si>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</si>
  <si>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</si>
  <si>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</si>
  <si>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</si>
  <si>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</si>
  <si>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</si>
  <si>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</si>
  <si>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</si>
  <si>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</si>
  <si>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</si>
  <si>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</si>
  <si>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</si>
  <si>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</si>
  <si>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</si>
  <si>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</si>
  <si>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</si>
  <si>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</si>
  <si>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</si>
  <si>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</si>
  <si>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</si>
  <si>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</si>
  <si>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</si>
  <si>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</si>
  <si>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</si>
  <si>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</si>
  <si>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</si>
  <si>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</si>
  <si>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</si>
  <si>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</si>
  <si>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</si>
  <si>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</si>
  <si>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</si>
  <si>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</si>
  <si>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</si>
  <si>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</si>
  <si>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</si>
  <si>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</si>
  <si>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</si>
  <si>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</si>
  <si>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</si>
  <si>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</si>
  <si>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</si>
  <si>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</si>
  <si>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</si>
  <si>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</si>
  <si>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</si>
  <si>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</si>
  <si>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</si>
  <si>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</si>
  <si>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</si>
  <si>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</si>
  <si>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</si>
  <si>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</si>
  <si>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</si>
  <si>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</si>
  <si>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</si>
  <si>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</si>
  <si>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</si>
  <si>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</si>
  <si>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</si>
  <si>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</si>
  <si>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</si>
  <si>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</si>
  <si>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</si>
  <si>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</si>
  <si>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</si>
  <si>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</si>
  <si>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</si>
  <si>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</si>
  <si>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</si>
  <si>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</si>
  <si>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</si>
  <si>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</si>
  <si>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</si>
  <si>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</si>
  <si>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</si>
  <si>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</si>
  <si>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</si>
  <si>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</si>
  <si>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</si>
  <si>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</si>
  <si>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</si>
  <si>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</si>
  <si>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</si>
  <si>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</si>
  <si>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</si>
  <si>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</si>
  <si>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</si>
  <si>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</si>
  <si>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</si>
  <si>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</si>
  <si>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</si>
  <si>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</si>
  <si>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</si>
  <si>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</si>
  <si>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</si>
  <si>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</si>
  <si>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</si>
  <si>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</si>
  <si>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</si>
  <si>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</si>
  <si>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</si>
  <si>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</si>
  <si>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</si>
  <si>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</si>
  <si>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</si>
  <si>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</si>
  <si>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</si>
  <si>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</si>
  <si>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</si>
  <si>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</si>
  <si>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</si>
  <si>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</si>
  <si>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</si>
  <si>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</si>
  <si>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</si>
  <si>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</si>
  <si>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</si>
  <si>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</si>
  <si>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</si>
  <si>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</si>
  <si>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</si>
  <si>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</si>
  <si>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</si>
  <si>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</si>
  <si>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</si>
  <si>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</si>
  <si>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</si>
  <si>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</si>
  <si>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</si>
  <si>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</si>
  <si>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</si>
  <si>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</si>
  <si>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</si>
  <si>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</si>
  <si>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</si>
  <si>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</si>
  <si>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</si>
  <si>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</si>
  <si>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</si>
  <si>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</si>
  <si>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</si>
  <si>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</si>
  <si>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</si>
  <si>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</si>
  <si>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</si>
  <si>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</si>
  <si>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</si>
  <si>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</si>
  <si>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</si>
  <si>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</si>
  <si>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</si>
  <si>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</si>
  <si>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</si>
  <si>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</si>
  <si>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</si>
  <si>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</si>
  <si>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</si>
  <si>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</si>
  <si>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</si>
  <si>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</si>
  <si>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</si>
  <si>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</si>
  <si>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</si>
  <si>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</si>
  <si>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</si>
  <si>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</si>
  <si>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</si>
  <si>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</si>
  <si>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</si>
  <si>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</si>
  <si>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</si>
  <si>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</si>
  <si>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</si>
  <si>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</si>
  <si>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</si>
  <si>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</si>
  <si>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</si>
  <si>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</si>
  <si>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</si>
  <si>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</si>
  <si>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</si>
  <si>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</si>
  <si>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</si>
  <si>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</si>
  <si>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</si>
  <si>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</si>
  <si>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</si>
  <si>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</si>
  <si>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</si>
  <si>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</si>
  <si>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</si>
  <si>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</si>
  <si>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</si>
  <si>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</si>
  <si>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</si>
  <si>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</si>
  <si>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</si>
  <si>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</si>
  <si>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</si>
  <si>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</si>
  <si>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</si>
  <si>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</si>
  <si>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</si>
  <si>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</si>
  <si>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</si>
  <si>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</si>
  <si>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</si>
  <si>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</si>
  <si>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</si>
  <si>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</si>
  <si>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</si>
  <si>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</si>
  <si>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</si>
  <si>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</si>
  <si>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</si>
  <si>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</si>
  <si>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</si>
  <si>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</si>
  <si>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</si>
  <si>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</si>
  <si>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</si>
  <si>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</si>
  <si>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</si>
  <si>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</si>
  <si>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</si>
  <si>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</si>
  <si>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</si>
  <si>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</si>
  <si>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</si>
  <si>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</si>
  <si>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</si>
  <si>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</si>
  <si>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</si>
  <si>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</si>
  <si>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</si>
  <si>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</si>
  <si>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</si>
  <si>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</si>
  <si>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</si>
  <si>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</si>
  <si>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</si>
  <si>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</si>
  <si>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</si>
  <si>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</si>
  <si>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</si>
  <si>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</si>
  <si>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</si>
  <si>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</si>
  <si>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</si>
  <si>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</si>
  <si>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</si>
  <si>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</si>
  <si>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</si>
  <si>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</si>
  <si>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</si>
  <si>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</si>
  <si>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</si>
  <si>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</si>
  <si>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</si>
  <si>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</si>
  <si>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</si>
  <si>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</si>
  <si>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</si>
  <si>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</si>
  <si>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</si>
  <si>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</si>
  <si>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</si>
  <si>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</si>
  <si>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</si>
  <si>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</si>
  <si>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</si>
  <si>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</si>
  <si>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</si>
  <si>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</si>
  <si>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</si>
  <si>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</si>
  <si>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</si>
  <si>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</si>
  <si>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</si>
  <si>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</si>
  <si>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</si>
  <si>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</si>
  <si>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</si>
  <si>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</si>
  <si>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</si>
  <si>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</si>
  <si>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</si>
  <si>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</si>
  <si>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</si>
  <si>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</si>
  <si>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</si>
  <si>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</si>
  <si>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</si>
  <si>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</si>
  <si>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</si>
  <si>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</si>
  <si>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</si>
  <si>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</si>
  <si>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</si>
  <si>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</si>
  <si>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</si>
  <si>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</si>
  <si>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</si>
  <si>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</si>
  <si>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</si>
  <si>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</si>
  <si>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</si>
  <si>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</si>
  <si>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</si>
  <si>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</si>
  <si>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</si>
  <si>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</si>
  <si>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</si>
  <si>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</si>
  <si>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</si>
  <si>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</si>
  <si>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</si>
  <si>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</si>
  <si>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</si>
  <si>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</si>
  <si>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</si>
  <si>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</si>
  <si>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</si>
  <si>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</si>
  <si>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</si>
  <si>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</si>
  <si>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</si>
  <si>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</si>
  <si>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</si>
  <si>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</si>
  <si>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</si>
  <si>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</si>
  <si>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</si>
  <si>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</si>
  <si>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</si>
  <si>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</si>
  <si>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</si>
  <si>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</si>
  <si>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</si>
  <si>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</si>
  <si>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</si>
  <si>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</si>
  <si>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</si>
  <si>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</si>
  <si>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</si>
  <si>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</si>
  <si>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</si>
  <si>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</si>
  <si>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</si>
  <si>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</si>
  <si>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</si>
  <si>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</si>
  <si>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</si>
  <si>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</si>
  <si>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</si>
  <si>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</si>
  <si>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</si>
  <si>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</si>
  <si>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</si>
  <si>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</si>
  <si>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</si>
  <si>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</si>
  <si>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</si>
  <si>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</si>
  <si>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</si>
  <si>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</si>
  <si>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</si>
  <si>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</si>
  <si>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</si>
  <si>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</si>
  <si>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</si>
  <si>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</si>
  <si>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</si>
  <si>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</si>
  <si>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</si>
  <si>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</si>
  <si>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</si>
  <si>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</si>
  <si>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</si>
  <si>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</si>
  <si>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</si>
  <si>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</si>
  <si>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</si>
  <si>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</si>
  <si>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</si>
  <si>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</si>
  <si>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</si>
  <si>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</si>
  <si>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</si>
  <si>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</si>
  <si>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</si>
  <si>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</si>
  <si>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</si>
  <si>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</si>
  <si>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</si>
  <si>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</si>
  <si>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</si>
  <si>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</si>
  <si>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</si>
  <si>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</si>
  <si>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</si>
  <si>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</si>
  <si>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</si>
  <si>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</si>
  <si>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</si>
  <si>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</si>
  <si>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</si>
  <si>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</si>
  <si>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</si>
  <si>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</si>
  <si>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</si>
  <si>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</si>
  <si>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</si>
  <si>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</si>
  <si>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</si>
  <si>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</si>
  <si>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</si>
  <si>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</si>
  <si>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</si>
  <si>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</si>
  <si>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</si>
  <si>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</si>
  <si>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</si>
  <si>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</si>
  <si>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</si>
  <si>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</si>
  <si>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</si>
  <si>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</si>
  <si>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</si>
  <si>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</si>
  <si>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</si>
  <si>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</si>
  <si>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</si>
  <si>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</si>
  <si>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</si>
  <si>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</si>
  <si>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</si>
  <si>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</si>
  <si>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</si>
  <si>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</si>
  <si>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</si>
  <si>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</si>
  <si>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</si>
  <si>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</si>
  <si>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</si>
  <si>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</si>
  <si>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</si>
  <si>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</si>
  <si>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</si>
  <si>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</si>
  <si>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</si>
  <si>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</si>
  <si>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</si>
  <si>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</si>
  <si>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</si>
  <si>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</si>
  <si>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</si>
  <si>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</si>
  <si>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</si>
  <si>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</si>
  <si>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</si>
  <si>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</si>
  <si>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</si>
  <si>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</si>
  <si>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</si>
  <si>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</si>
  <si>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</si>
  <si>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</si>
  <si>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</si>
  <si>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</si>
  <si>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</si>
  <si>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</si>
  <si>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</si>
  <si>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</si>
  <si>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</si>
  <si>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</si>
  <si>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</si>
  <si>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</si>
  <si>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</si>
  <si>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</si>
  <si>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</si>
  <si>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</si>
  <si>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</si>
  <si>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</si>
  <si>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</si>
  <si>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</si>
  <si>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</si>
  <si>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</si>
  <si>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</si>
  <si>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</si>
  <si>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</si>
  <si>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</si>
  <si>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</si>
  <si>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</si>
  <si>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</si>
  <si>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</si>
  <si>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</si>
  <si>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</si>
  <si>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</si>
  <si>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</si>
  <si>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</si>
  <si>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</si>
  <si>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</si>
  <si>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</si>
  <si>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</si>
  <si>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</si>
  <si>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</si>
  <si>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</si>
  <si>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</si>
  <si>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</si>
  <si>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</si>
  <si>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</si>
  <si>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</si>
  <si>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</si>
  <si>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</si>
  <si>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</si>
  <si>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</si>
  <si>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</si>
  <si>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</si>
  <si>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</si>
  <si>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</si>
  <si>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</si>
  <si>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</si>
  <si>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</si>
  <si>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</si>
  <si>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</si>
  <si>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</si>
  <si>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</si>
  <si>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</si>
  <si>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</si>
  <si>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</si>
  <si>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</si>
  <si>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</si>
  <si>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</si>
  <si>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</si>
  <si>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</si>
  <si>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</si>
  <si>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</si>
  <si>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</si>
  <si>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</si>
  <si>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</si>
  <si>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</si>
  <si>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</si>
  <si>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</si>
  <si>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</si>
  <si>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</si>
  <si>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</si>
  <si>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</si>
  <si>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</si>
  <si>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</si>
  <si>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</si>
  <si>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</si>
  <si>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</si>
  <si>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</si>
  <si>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</si>
  <si>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</si>
  <si>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</si>
  <si>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</si>
  <si>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</si>
  <si>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</si>
  <si>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</si>
  <si>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</si>
  <si>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</si>
  <si>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</si>
  <si>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</si>
  <si>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</si>
  <si>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</si>
  <si>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</si>
  <si>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</si>
  <si>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</si>
  <si>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</si>
  <si>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</si>
  <si>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</si>
  <si>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</si>
  <si>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</si>
  <si>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</si>
  <si>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</si>
  <si>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</si>
  <si>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</si>
  <si>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</si>
  <si>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</si>
  <si>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</si>
  <si>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</si>
  <si>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</si>
  <si>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</si>
  <si>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</si>
  <si>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</si>
  <si>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</si>
  <si>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</si>
  <si>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</si>
  <si>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</si>
  <si>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</si>
  <si>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</si>
  <si>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</si>
  <si>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</si>
  <si>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</si>
  <si>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</si>
  <si>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</si>
  <si>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</si>
  <si>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</si>
  <si>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</si>
  <si>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</si>
  <si>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</si>
  <si>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</si>
  <si>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</si>
  <si>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</si>
  <si>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</si>
  <si>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</si>
  <si>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</si>
  <si>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</si>
  <si>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</si>
  <si>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</si>
  <si>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</si>
  <si>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</si>
  <si>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</si>
  <si>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</si>
  <si>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</si>
  <si>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</si>
  <si>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</si>
  <si>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</si>
  <si>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</si>
  <si>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</si>
  <si>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</si>
  <si>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</si>
  <si>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</si>
  <si>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</si>
  <si>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</si>
  <si>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</si>
  <si>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</si>
  <si>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</si>
  <si>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</si>
  <si>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</si>
  <si>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</si>
  <si>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</si>
  <si>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</si>
  <si>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</si>
  <si>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</si>
  <si>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</si>
  <si>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</si>
  <si>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</si>
  <si>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</si>
  <si>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</si>
  <si>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</si>
  <si>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</si>
  <si>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</si>
  <si>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</si>
  <si>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</si>
  <si>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</si>
  <si>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</si>
  <si>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</si>
  <si>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</si>
  <si>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</si>
  <si>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</si>
  <si>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</si>
  <si>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</si>
  <si>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</si>
  <si>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</si>
  <si>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</si>
  <si>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</si>
  <si>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</si>
  <si>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</si>
  <si>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</si>
  <si>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</si>
  <si>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</si>
  <si>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</si>
  <si>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</si>
  <si>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</si>
  <si>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</si>
  <si>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</si>
  <si>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</si>
  <si>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</si>
  <si>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</si>
  <si>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</si>
  <si>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</si>
  <si>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</si>
  <si>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</si>
  <si>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</si>
  <si>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</si>
  <si>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</si>
  <si>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</si>
  <si>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</si>
  <si>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</si>
  <si>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</si>
  <si>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</si>
  <si>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</si>
  <si>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</si>
  <si>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</si>
  <si>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</si>
  <si>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</si>
  <si>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</si>
  <si>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</si>
  <si>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</si>
  <si>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</si>
  <si>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</si>
  <si>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</si>
  <si>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</si>
  <si>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</si>
  <si>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</si>
  <si>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</si>
  <si>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</si>
  <si>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</si>
  <si>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</si>
  <si>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</si>
  <si>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</si>
  <si>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</si>
  <si>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</si>
  <si>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</si>
  <si>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</si>
  <si>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</si>
  <si>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</si>
  <si>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</si>
  <si>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</si>
  <si>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</si>
  <si>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</si>
  <si>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</si>
  <si>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</si>
  <si>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</si>
  <si>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</si>
  <si>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</si>
  <si>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</si>
  <si>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</si>
  <si>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</si>
  <si>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</si>
  <si>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</si>
  <si>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</si>
  <si>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</si>
  <si>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</si>
  <si>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</si>
  <si>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</si>
  <si>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</si>
  <si>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</si>
  <si>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</si>
  <si>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</si>
  <si>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</si>
  <si>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</si>
  <si>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</si>
  <si>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</si>
  <si>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</si>
  <si>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</si>
  <si>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</si>
  <si>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</si>
  <si>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</si>
  <si>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</si>
  <si>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</si>
  <si>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</si>
  <si>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</si>
  <si>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</si>
  <si>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</si>
  <si>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</si>
  <si>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</si>
  <si>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</si>
  <si>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</si>
  <si>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</si>
  <si>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</si>
  <si>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</si>
  <si>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</si>
  <si>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</si>
  <si>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</si>
  <si>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</si>
  <si>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</si>
  <si>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</si>
  <si>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</si>
  <si>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</si>
  <si>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</si>
  <si>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</si>
  <si>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</si>
  <si>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</si>
  <si>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</si>
  <si>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</si>
  <si>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</si>
  <si>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</si>
  <si>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</si>
  <si>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</si>
  <si>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</si>
  <si>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</si>
  <si>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</si>
  <si>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</si>
  <si>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</si>
  <si>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</si>
  <si>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</si>
  <si>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</si>
  <si>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</si>
  <si>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</si>
  <si>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</si>
  <si>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</si>
  <si>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</si>
  <si>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</si>
  <si>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</si>
  <si>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</si>
  <si>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</si>
  <si>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</si>
  <si>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</si>
  <si>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</si>
  <si>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</si>
  <si>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</si>
  <si>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</si>
  <si>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</si>
  <si>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</si>
  <si>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</si>
  <si>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</si>
  <si>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</si>
  <si>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</si>
  <si>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</si>
  <si>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</si>
  <si>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</si>
  <si>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</si>
  <si>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</si>
  <si>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</si>
  <si>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</si>
  <si>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</si>
  <si>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</si>
  <si>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</si>
  <si>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</si>
  <si>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</si>
  <si>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</si>
  <si>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</si>
  <si>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</si>
  <si>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</si>
  <si>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</si>
  <si>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</si>
  <si>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</si>
  <si>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</si>
  <si>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</si>
  <si>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</si>
  <si>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</si>
  <si>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</si>
  <si>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</si>
  <si>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</si>
  <si>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</si>
  <si>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</si>
  <si>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</si>
  <si>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</si>
  <si>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</si>
  <si>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</si>
  <si>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</si>
  <si>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</si>
  <si>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</si>
  <si>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</si>
  <si>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</si>
  <si>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</si>
  <si>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</si>
  <si>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</si>
  <si>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</si>
  <si>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</si>
  <si>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</si>
  <si>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</si>
  <si>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</si>
  <si>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</si>
  <si>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</si>
  <si>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</si>
  <si>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</si>
  <si>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</si>
  <si>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</si>
  <si>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</si>
  <si>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</si>
  <si>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</si>
  <si>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</si>
  <si>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</si>
  <si>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</si>
  <si>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</si>
  <si>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</si>
  <si>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</si>
  <si>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</si>
  <si>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</si>
  <si>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</si>
  <si>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</si>
  <si>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</si>
  <si>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</si>
  <si>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</si>
  <si>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</si>
  <si>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</si>
  <si>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</si>
  <si>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</si>
  <si>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</si>
  <si>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</si>
  <si>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</si>
  <si>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</si>
  <si>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</si>
  <si>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</si>
  <si>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</si>
  <si>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</si>
  <si>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</si>
  <si>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</si>
  <si>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</si>
  <si>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</si>
  <si>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</si>
  <si>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</si>
  <si>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</si>
  <si>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</si>
  <si>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</si>
  <si>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</si>
  <si>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</si>
  <si>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</si>
  <si>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</si>
  <si>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</si>
  <si>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</si>
  <si>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</si>
  <si>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</si>
  <si>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</si>
  <si>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</si>
  <si>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</si>
  <si>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</si>
  <si>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</si>
  <si>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</si>
  <si>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</si>
  <si>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</si>
  <si>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</si>
  <si>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</si>
  <si>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</si>
  <si>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</si>
  <si>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</si>
  <si>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</si>
  <si>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</si>
  <si>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</si>
  <si>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</si>
  <si>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</si>
  <si>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</si>
  <si>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</si>
  <si>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</si>
  <si>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</si>
  <si>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</si>
  <si>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</si>
  <si>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</si>
  <si>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</si>
  <si>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</si>
  <si>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</si>
  <si>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</si>
  <si>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</si>
  <si>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</si>
  <si>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</si>
  <si>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</si>
  <si>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</si>
  <si>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</si>
  <si>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</si>
  <si>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</si>
  <si>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</si>
  <si>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</si>
  <si>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</si>
  <si>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</si>
  <si>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</si>
  <si>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</si>
  <si>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</si>
  <si>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</si>
  <si>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</si>
  <si>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</si>
  <si>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</si>
  <si>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</si>
  <si>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</si>
  <si>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</si>
  <si>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</si>
  <si>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</si>
  <si>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</si>
  <si>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</si>
  <si>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</si>
  <si>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</si>
  <si>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</si>
  <si>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</si>
  <si>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</si>
  <si>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</si>
  <si>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</si>
  <si>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</si>
  <si>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</si>
  <si>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</si>
  <si>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</si>
  <si>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</si>
  <si>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</si>
  <si>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</si>
  <si>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</si>
  <si>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</si>
  <si>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</si>
  <si>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</si>
  <si>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</si>
  <si>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</si>
  <si>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</si>
  <si>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</si>
  <si>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</si>
  <si>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</si>
  <si>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</si>
  <si>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</si>
  <si>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</si>
  <si>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</si>
  <si>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</si>
  <si>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</si>
  <si>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</si>
  <si>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</si>
  <si>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</si>
  <si>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</si>
  <si>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</si>
  <si>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</si>
  <si>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</si>
  <si>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</si>
  <si>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</si>
  <si>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</si>
  <si>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</si>
  <si>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</si>
  <si>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</si>
  <si>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</si>
  <si>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</si>
  <si>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</si>
  <si>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</si>
  <si>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</si>
  <si>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</si>
  <si>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</si>
  <si>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</si>
  <si>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</si>
  <si>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</si>
  <si>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</si>
  <si>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</si>
  <si>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</si>
  <si>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</si>
  <si>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</si>
  <si>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</si>
  <si>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</si>
  <si>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</si>
  <si>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</si>
  <si>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</si>
  <si>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</si>
  <si>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</si>
  <si>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</si>
  <si>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</si>
  <si>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</si>
  <si>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</si>
  <si>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</si>
  <si>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</si>
  <si>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</si>
  <si>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</si>
  <si>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</si>
  <si>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</si>
  <si>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</si>
  <si>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</si>
  <si>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</si>
  <si>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</si>
  <si>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</si>
  <si>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</si>
  <si>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</si>
  <si>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</si>
  <si>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</si>
  <si>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</si>
  <si>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</si>
  <si>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</si>
  <si>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</si>
  <si>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</si>
  <si>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</si>
  <si>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</si>
  <si>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</si>
  <si>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</si>
  <si>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</si>
  <si>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</si>
  <si>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</si>
  <si>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</si>
  <si>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</si>
  <si>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</si>
  <si>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</si>
  <si>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</si>
  <si>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</si>
  <si>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</si>
  <si>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</si>
  <si>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</si>
  <si>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</si>
  <si>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</si>
  <si>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</si>
  <si>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</si>
  <si>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</si>
  <si>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</si>
  <si>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</si>
  <si>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</si>
  <si>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</si>
  <si>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</si>
  <si>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</si>
  <si>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</si>
  <si>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</si>
  <si>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</si>
  <si>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</si>
  <si>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</si>
  <si>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</si>
  <si>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</si>
  <si>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</si>
  <si>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</si>
  <si>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</si>
  <si>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</si>
  <si>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</si>
  <si>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</si>
  <si>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</si>
  <si>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</si>
  <si>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</si>
  <si>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</si>
  <si>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</si>
  <si>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</si>
  <si>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</si>
  <si>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</si>
  <si>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</si>
  <si>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</si>
  <si>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</si>
  <si>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</si>
  <si>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</si>
  <si>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</si>
  <si>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</si>
  <si>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</si>
  <si>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</si>
  <si>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</si>
  <si>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</si>
  <si>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</si>
  <si>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</si>
  <si>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</si>
  <si>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</si>
  <si>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</si>
  <si>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</si>
  <si>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</si>
  <si>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</si>
  <si>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</si>
  <si>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</si>
  <si>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</si>
  <si>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</si>
  <si>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</si>
  <si>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</si>
  <si>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</si>
  <si>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</si>
  <si>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</si>
  <si>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</si>
  <si>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</si>
  <si>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</si>
  <si>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</si>
  <si>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</si>
  <si>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</si>
  <si>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</si>
  <si>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</si>
  <si>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</si>
  <si>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</si>
  <si>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</si>
  <si>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</si>
  <si>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</si>
  <si>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</si>
  <si>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</si>
  <si>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</si>
  <si>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</si>
  <si>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</si>
  <si>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</si>
  <si>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</si>
  <si>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</si>
  <si>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</si>
  <si>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</si>
  <si>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</si>
  <si>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</si>
  <si>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</si>
  <si>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</si>
  <si>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</si>
  <si>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</si>
  <si>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</si>
  <si>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</si>
  <si>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</si>
  <si>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</si>
  <si>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</si>
  <si>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</si>
  <si>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</si>
  <si>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</si>
  <si>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</si>
  <si>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</si>
  <si>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</si>
  <si>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</si>
  <si>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</si>
  <si>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</si>
  <si>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</si>
  <si>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</si>
  <si>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</si>
  <si>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</si>
  <si>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</si>
  <si>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</si>
  <si>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</si>
  <si>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</si>
  <si>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</si>
  <si>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</si>
  <si>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</si>
  <si>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</si>
  <si>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</si>
  <si>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</si>
  <si>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</si>
  <si>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</si>
  <si>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</si>
  <si>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</si>
  <si>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</si>
  <si>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</si>
  <si>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</si>
  <si>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</si>
  <si>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</si>
  <si>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</si>
  <si>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</si>
  <si>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</si>
  <si>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</si>
  <si>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</si>
  <si>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</si>
  <si>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</si>
  <si>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</si>
  <si>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</si>
  <si>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</si>
  <si>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</si>
  <si>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</si>
  <si>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</si>
  <si>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</si>
  <si>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</si>
  <si>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</si>
  <si>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</si>
  <si>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</si>
  <si>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</si>
  <si>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</si>
  <si>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</si>
  <si>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</si>
  <si>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</si>
  <si>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</si>
  <si>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</si>
  <si>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</si>
  <si>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</si>
  <si>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</si>
  <si>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</si>
  <si>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</si>
  <si>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</si>
  <si>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</si>
  <si>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</si>
  <si>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</si>
  <si>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</si>
  <si>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</si>
  <si>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</si>
  <si>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</si>
  <si>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</si>
  <si>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</si>
  <si>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</si>
  <si>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</si>
  <si>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</si>
  <si>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</si>
  <si>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</si>
  <si>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</si>
  <si>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S. Dal Degan</t>
  </si>
  <si>
    <t xml:space="preserve">conforme AFNOR T90-395 oct. 2003</t>
  </si>
  <si>
    <t xml:space="preserve">LAUQUET</t>
  </si>
  <si>
    <t xml:space="preserve">Couffoulens</t>
  </si>
  <si>
    <t xml:space="preserve">06177500</t>
  </si>
  <si>
    <t xml:space="preserve">7178b - 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</si>
  <si>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</si>
  <si>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</si>
  <si>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</si>
  <si>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</si>
  <si>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</si>
  <si>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</si>
  <si>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</si>
  <si>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</si>
  <si>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</si>
  <si>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</si>
  <si>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</si>
  <si>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</si>
  <si>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</si>
  <si>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</si>
  <si>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</si>
  <si>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</si>
  <si>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</si>
  <si>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</si>
  <si>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</si>
  <si>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</si>
  <si>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</si>
  <si>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</si>
  <si>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</si>
  <si>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</si>
  <si>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</si>
  <si>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</si>
  <si>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</si>
  <si>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</si>
  <si>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</si>
  <si>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</si>
  <si>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</si>
  <si>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</si>
  <si>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</si>
  <si>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</si>
  <si>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</si>
  <si>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</si>
  <si>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</si>
  <si>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</si>
  <si>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</si>
  <si>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</si>
  <si>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</si>
  <si>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</si>
  <si>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</si>
  <si>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</si>
  <si>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</si>
  <si>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</si>
  <si>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</si>
  <si>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</si>
  <si>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</si>
  <si>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</si>
  <si>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(73,3085 %)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</si>
  <si>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</si>
  <si>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</si>
  <si>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</si>
  <si>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</si>
  <si>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</si>
  <si>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</si>
  <si>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</si>
  <si>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</si>
  <si>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</si>
  <si>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</si>
  <si>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</si>
  <si>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</si>
  <si>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</si>
  <si>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</si>
  <si>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</si>
  <si>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</si>
  <si>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</si>
  <si>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</si>
  <si>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</si>
  <si>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</si>
  <si>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Dorycnium rectum</t>
  </si>
  <si>
    <t xml:space="preserve">Equisetum telmateia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</si>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</sst>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7" colorId="64" zoomScale="90" zoomScaleNormal="90" zoomScalePageLayoutView="100" workbookViewId="0">
      <selection pane="topLeft" activeCell="O60" activeCellId="0" sqref="A1:O60"/>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41492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8.025</v>
      </c>
      <c r="M5" s="323"/>
      <c r="N5" s="324" t="s">
        <v>258</v>
      </c>
      <c r="O5" s="325" t="n">
        <v>7.86486486486487</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21</v>
      </c>
      <c r="C7" s="337" t="n">
        <v>79</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6.52</v>
      </c>
      <c r="O8" s="354" t="n">
        <f aca="false">IF(ISERROR(AVERAGE(J23:J82)),"      -",AVERAGE(J23:J82))</f>
        <v>1</v>
      </c>
      <c r="P8" s="355"/>
      <c r="Q8" s="280"/>
      <c r="R8" s="280"/>
      <c r="S8" s="280"/>
      <c r="T8" s="280"/>
      <c r="U8" s="280"/>
      <c r="V8" s="280"/>
      <c r="W8" s="292"/>
      <c r="X8" s="293"/>
    </row>
    <row r="9" customFormat="false" ht="13.5" hidden="false" customHeight="false" outlineLevel="0" collapsed="false">
      <c r="A9" s="313" t="s">
        <v>2635</v>
      </c>
      <c r="B9" s="356" t="n">
        <v>85.4</v>
      </c>
      <c r="C9" s="357" t="n">
        <v>70</v>
      </c>
      <c r="D9" s="358"/>
      <c r="E9" s="358"/>
      <c r="F9" s="359" t="n">
        <f aca="false">($B9*$B$7+$C9*$C$7)/100</f>
        <v>73.234</v>
      </c>
      <c r="G9" s="360"/>
      <c r="H9" s="361"/>
      <c r="I9" s="362"/>
      <c r="J9" s="363"/>
      <c r="K9" s="343"/>
      <c r="L9" s="364"/>
      <c r="M9" s="353" t="s">
        <v>2636</v>
      </c>
      <c r="N9" s="354" t="n">
        <f aca="false">IF(ISERROR(STDEVP(I23:I82)),"     -",STDEVP(I23:I82))</f>
        <v>4.75915958967547</v>
      </c>
      <c r="O9" s="354" t="n">
        <f aca="false">IF(ISERROR(STDEVP(J23:J82)),"      -",STDEVP(J23:J82))</f>
        <v>0.8</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13</v>
      </c>
      <c r="O11" s="376" t="n">
        <f aca="false">MAX(J23:J82)</f>
        <v>3</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6</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3</v>
      </c>
      <c r="L13" s="386"/>
      <c r="M13" s="397" t="s">
        <v>2649</v>
      </c>
      <c r="N13" s="398" t="n">
        <f aca="false">COUNTIF(F23:F82,"&gt;0")</f>
        <v>27</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25</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15</v>
      </c>
      <c r="L15" s="386"/>
      <c r="M15" s="407" t="s">
        <v>2655</v>
      </c>
      <c r="N15" s="408" t="n">
        <f aca="false">COUNTIF(J23:J82,"=1")</f>
        <v>12</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5</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1</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85.435</v>
      </c>
      <c r="C20" s="436" t="n">
        <f aca="false">SUM(C23:C82)</f>
        <v>70.085</v>
      </c>
      <c r="D20" s="437"/>
      <c r="E20" s="438" t="s">
        <v>2661</v>
      </c>
      <c r="F20" s="439" t="n">
        <f aca="false">($B20*$B$7+$C20*$C$7)/100</f>
        <v>73.3085</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17.94135</v>
      </c>
      <c r="C21" s="449" t="n">
        <f aca="false">C20*C7/100</f>
        <v>55.36715</v>
      </c>
      <c r="D21" s="381" t="str">
        <f aca="false">IF(F21=0,"",IF((ABS(F21-F19))&gt;(0.2*F21),CONCATENATE(" rec. par taxa (",F21," %) supérieur à 20 % !"),""))</f>
        <v> rec. par taxa (73,3085 %) supérieur à 20 % !</v>
      </c>
      <c r="E21" s="450" t="str">
        <f aca="false">IF(F21=0,"",IF((ABS(F21-F19))&gt;(0.2*F21),CONCATENATE("ATTENTION : écart entre rec. par grp (",F19," %) ","et",""),""))</f>
        <v>ATTENTION : écart entre rec. par grp (0 %) et</v>
      </c>
      <c r="F21" s="451" t="n">
        <f aca="false">B21+C21</f>
        <v>73.3085</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113</v>
      </c>
      <c r="B23" s="475"/>
      <c r="C23" s="476" t="n">
        <v>0.005</v>
      </c>
      <c r="D23" s="477" t="str">
        <f aca="false">IF(ISERROR(VLOOKUP($A23,'liste reference'!$A$7:$D$904,2,0)),IF(ISERROR(VLOOKUP($A23,'liste reference'!$B$7:$D$904,1,0)),"",VLOOKUP($A23,'liste reference'!$B$7:$D$904,1,0)),VLOOKUP($A23,'liste reference'!$A$7:$D$904,2,0))</f>
        <v>Chara vulgaris</v>
      </c>
      <c r="E23" s="477" t="e">
        <f aca="false">IF(D23="",0,VLOOKUP(D23,D$22:D22,1,0))</f>
        <v>#N/A</v>
      </c>
      <c r="F23" s="478" t="n">
        <f aca="false">($B23*$B$7+$C23*$C$7)/100</f>
        <v>0.00395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5261</v>
      </c>
      <c r="Q23" s="486" t="n">
        <f aca="false">IF(ISTEXT(H23),"",(B23*$B$7/100)+(C23*$C$7/100))</f>
        <v>0.00395</v>
      </c>
      <c r="R23" s="487" t="n">
        <f aca="false">IF(OR(ISTEXT(H23),Q23=0),"",IF(Q23&lt;0.1,1,IF(Q23&lt;1,2,IF(Q23&lt;10,3,IF(Q23&lt;50,4,IF(Q23&gt;=50,5,""))))))</f>
        <v>1</v>
      </c>
      <c r="S23" s="487" t="n">
        <f aca="false">IF(ISERROR(R23*I23),0,R23*I23)</f>
        <v>13</v>
      </c>
      <c r="T23" s="487" t="n">
        <f aca="false">IF(ISERROR(R23*I23*J23),0,R23*I23*J23)</f>
        <v>13</v>
      </c>
      <c r="U23" s="487" t="n">
        <f aca="false">IF(ISERROR(R23*J23),0,R23*J23)</f>
        <v>1</v>
      </c>
      <c r="V23" s="488" t="str">
        <f aca="false">IF(AND(A23="",F23=0),"",IF(F23=0,"Il manque le(s) % de rec. !",""))</f>
        <v/>
      </c>
      <c r="W23" s="489"/>
      <c r="Y23" s="490" t="str">
        <f aca="false">IF(A23="new.cod","NEWCOD",IF(AND((Z23=""),ISTEXT(A23)),A23,IF(Z23="","",INDEX('liste reference'!$A$8:$A$904,Z23))))</f>
        <v>CHAVUL</v>
      </c>
      <c r="Z23" s="280" t="n">
        <f aca="false">IF(ISERROR(MATCH(A23,'liste reference'!$A$8:$A$904,0)),IF(ISERROR(MATCH(A23,'liste reference'!$B$8:$B$904,0)),"",(MATCH(A23,'liste reference'!$B$8:$B$904,0))),(MATCH(A23,'liste reference'!$A$8:$A$904,0)))</f>
        <v>20</v>
      </c>
      <c r="AA23" s="491"/>
      <c r="AB23" s="492"/>
      <c r="AC23" s="492"/>
      <c r="BB23" s="280" t="n">
        <f aca="false">IF(A23="","",1)</f>
        <v>1</v>
      </c>
    </row>
    <row r="24" customFormat="false" ht="12.75" hidden="false" customHeight="false" outlineLevel="0" collapsed="false">
      <c r="A24" s="493" t="s">
        <v>122</v>
      </c>
      <c r="B24" s="494" t="n">
        <v>65</v>
      </c>
      <c r="C24" s="495" t="n">
        <v>45</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49.2</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49.2</v>
      </c>
      <c r="R24" s="487" t="n">
        <f aca="false">IF(OR(ISTEXT(H24),Q24=0),"",IF(Q24&lt;0.1,1,IF(Q24&lt;1,2,IF(Q24&lt;10,3,IF(Q24&lt;50,4,IF(Q24&gt;=50,5,""))))))</f>
        <v>4</v>
      </c>
      <c r="S24" s="487" t="n">
        <f aca="false">IF(ISERROR(R24*I24),0,R24*I24)</f>
        <v>24</v>
      </c>
      <c r="T24" s="487" t="n">
        <f aca="false">IF(ISERROR(R24*I24*J24),0,R24*I24*J24)</f>
        <v>24</v>
      </c>
      <c r="U24" s="499" t="n">
        <f aca="false">IF(ISERROR(R24*J24),0,R24*J24)</f>
        <v>4</v>
      </c>
      <c r="V24" s="488" t="str">
        <f aca="false">IF(AND(A24="",F24=0),"",IF(F24=0,"Il manque le(s) % de rec. !",""))</f>
        <v/>
      </c>
      <c r="W24" s="500"/>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149</v>
      </c>
      <c r="B25" s="494" t="n">
        <v>5</v>
      </c>
      <c r="C25" s="495" t="n">
        <v>22</v>
      </c>
      <c r="D25" s="477" t="str">
        <f aca="false">IF(ISERROR(VLOOKUP($A25,'liste reference'!$A$7:$D$904,2,0)),IF(ISERROR(VLOOKUP($A25,'liste reference'!$B$7:$D$904,1,0)),"",VLOOKUP($A25,'liste reference'!$B$7:$D$904,1,0)),VLOOKUP($A25,'liste reference'!$A$7:$D$904,2,0))</f>
        <v>Hydrodictyon sp.</v>
      </c>
      <c r="E25" s="496" t="e">
        <f aca="false">IF(D25="",0,VLOOKUP(D25,D$22:D24,1,0))</f>
        <v>#N/A</v>
      </c>
      <c r="F25" s="497" t="n">
        <f aca="false">($B25*$B$7+$C25*$C$7)/100</f>
        <v>18.43</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Hydrodictyon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5686</v>
      </c>
      <c r="Q25" s="486" t="n">
        <f aca="false">IF(ISTEXT(H25),"",(B25*$B$7/100)+(C25*$C$7/100))</f>
        <v>18.43</v>
      </c>
      <c r="R25" s="487" t="n">
        <f aca="false">IF(OR(ISTEXT(H25),Q25=0),"",IF(Q25&lt;0.1,1,IF(Q25&lt;1,2,IF(Q25&lt;10,3,IF(Q25&lt;50,4,IF(Q25&gt;=50,5,""))))))</f>
        <v>4</v>
      </c>
      <c r="S25" s="487" t="n">
        <f aca="false">IF(ISERROR(R25*I25),0,R25*I25)</f>
        <v>24</v>
      </c>
      <c r="T25" s="487" t="n">
        <f aca="false">IF(ISERROR(R25*I25*J25),0,R25*I25*J25)</f>
        <v>48</v>
      </c>
      <c r="U25" s="499" t="n">
        <f aca="false">IF(ISERROR(R25*J25),0,R25*J25)</f>
        <v>8</v>
      </c>
      <c r="V25" s="488" t="str">
        <f aca="false">IF(AND(A25="",F25=0),"",IF(F25=0,"Il manque le(s) % de rec. !",""))</f>
        <v/>
      </c>
      <c r="W25" s="489"/>
      <c r="Y25" s="490" t="str">
        <f aca="false">IF(A25="new.cod","NEWCOD",IF(AND((Z25=""),ISTEXT(A25)),A25,IF(Z25="","",INDEX('liste reference'!$A$8:$A$904,Z25))))</f>
        <v>HYISPX</v>
      </c>
      <c r="Z25" s="280" t="n">
        <f aca="false">IF(ISERROR(MATCH(A25,'liste reference'!$A$8:$A$904,0)),IF(ISERROR(MATCH(A25,'liste reference'!$B$8:$B$904,0)),"",(MATCH(A25,'liste reference'!$B$8:$B$904,0))),(MATCH(A25,'liste reference'!$A$8:$A$904,0)))</f>
        <v>32</v>
      </c>
      <c r="AA25" s="491"/>
      <c r="AB25" s="492"/>
      <c r="AC25" s="492"/>
      <c r="BB25" s="280" t="n">
        <f aca="false">IF(A25="","",1)</f>
        <v>1</v>
      </c>
    </row>
    <row r="26" customFormat="false" ht="12.75" hidden="false" customHeight="false" outlineLevel="0" collapsed="false">
      <c r="A26" s="493" t="s">
        <v>223</v>
      </c>
      <c r="B26" s="494"/>
      <c r="C26" s="495" t="n">
        <v>0.1</v>
      </c>
      <c r="D26" s="477" t="str">
        <f aca="false">IF(ISERROR(VLOOKUP($A26,'liste reference'!$A$7:$D$904,2,0)),IF(ISERROR(VLOOKUP($A26,'liste reference'!$B$7:$D$904,1,0)),"",VLOOKUP($A26,'liste reference'!$B$7:$D$904,1,0)),VLOOKUP($A26,'liste reference'!$A$7:$D$904,2,0))</f>
        <v>Oedogonium sp.</v>
      </c>
      <c r="E26" s="496" t="e">
        <f aca="false">IF(D26="",0,VLOOKUP(D26,D$22:D25,1,0))</f>
        <v>#N/A</v>
      </c>
      <c r="F26" s="497" t="n">
        <f aca="false">($B26*$B$7+$C26*$C$7)/100</f>
        <v>0.079</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0.079</v>
      </c>
      <c r="R26" s="487" t="n">
        <f aca="false">IF(OR(ISTEXT(H26),Q26=0),"",IF(Q26&lt;0.1,1,IF(Q26&lt;1,2,IF(Q26&lt;10,3,IF(Q26&lt;50,4,IF(Q26&gt;=50,5,""))))))</f>
        <v>1</v>
      </c>
      <c r="S26" s="487" t="n">
        <f aca="false">IF(ISERROR(R26*I26),0,R26*I26)</f>
        <v>6</v>
      </c>
      <c r="T26" s="487" t="n">
        <f aca="false">IF(ISERROR(R26*I26*J26),0,R26*I26*J26)</f>
        <v>12</v>
      </c>
      <c r="U26" s="499" t="n">
        <f aca="false">IF(ISERROR(R26*J26),0,R26*J26)</f>
        <v>2</v>
      </c>
      <c r="V26" s="488" t="str">
        <f aca="false">IF(AND(A26="",F26=0),"",IF(F26=0,"Il manque le(s) % de rec. !",""))</f>
        <v/>
      </c>
      <c r="W26" s="489"/>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2.75" hidden="false" customHeight="false" outlineLevel="0" collapsed="false">
      <c r="A27" s="493" t="s">
        <v>258</v>
      </c>
      <c r="B27" s="494" t="n">
        <v>12</v>
      </c>
      <c r="C27" s="495" t="n">
        <v>0.5</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2.915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2.915</v>
      </c>
      <c r="R27" s="487" t="n">
        <f aca="false">IF(OR(ISTEXT(H27),Q27=0),"",IF(Q27&lt;0.1,1,IF(Q27&lt;1,2,IF(Q27&lt;10,3,IF(Q27&lt;50,4,IF(Q27&gt;=50,5,""))))))</f>
        <v>3</v>
      </c>
      <c r="S27" s="487" t="n">
        <f aca="false">IF(ISERROR(R27*I27),0,R27*I27)</f>
        <v>30</v>
      </c>
      <c r="T27" s="487" t="n">
        <f aca="false">IF(ISERROR(R27*I27*J27),0,R27*I27*J27)</f>
        <v>30</v>
      </c>
      <c r="U27" s="499" t="n">
        <f aca="false">IF(ISERROR(R27*J27),0,R27*J27)</f>
        <v>3</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301</v>
      </c>
      <c r="B28" s="494" t="n">
        <v>1</v>
      </c>
      <c r="C28" s="495" t="n">
        <v>0.3</v>
      </c>
      <c r="D28" s="477" t="str">
        <f aca="false">IF(ISERROR(VLOOKUP($A28,'liste reference'!$A$7:$D$904,2,0)),IF(ISERROR(VLOOKUP($A28,'liste reference'!$B$7:$D$904,1,0)),"",VLOOKUP($A28,'liste reference'!$B$7:$D$904,1,0)),VLOOKUP($A28,'liste reference'!$A$7:$D$904,2,0))</f>
        <v>Vaucheria sp.</v>
      </c>
      <c r="E28" s="496" t="e">
        <f aca="false">IF(D28="",0,VLOOKUP(D28,D$22:D27,1,0))</f>
        <v>#N/A</v>
      </c>
      <c r="F28" s="497" t="n">
        <f aca="false">($B28*$B$7+$C28*$C$7)/100</f>
        <v>0.447</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6193</v>
      </c>
      <c r="Q28" s="486" t="n">
        <f aca="false">IF(ISTEXT(H28),"",(B28*$B$7/100)+(C28*$C$7/100))</f>
        <v>0.447</v>
      </c>
      <c r="R28" s="487" t="n">
        <f aca="false">IF(OR(ISTEXT(H28),Q28=0),"",IF(Q28&lt;0.1,1,IF(Q28&lt;1,2,IF(Q28&lt;10,3,IF(Q28&lt;50,4,IF(Q28&gt;=50,5,""))))))</f>
        <v>2</v>
      </c>
      <c r="S28" s="487" t="n">
        <f aca="false">IF(ISERROR(R28*I28),0,R28*I28)</f>
        <v>8</v>
      </c>
      <c r="T28" s="487" t="n">
        <f aca="false">IF(ISERROR(R28*I28*J28),0,R28*I28*J28)</f>
        <v>8</v>
      </c>
      <c r="U28" s="499" t="n">
        <f aca="false">IF(ISERROR(R28*J28),0,R28*J28)</f>
        <v>2</v>
      </c>
      <c r="V28" s="488" t="str">
        <f aca="false">IF(AND(A28="",F28=0),"",IF(F28=0,"Il manque le(s) % de rec. !",""))</f>
        <v/>
      </c>
      <c r="W28" s="489"/>
      <c r="Y28" s="490" t="str">
        <f aca="false">IF(A28="new.cod","NEWCOD",IF(AND((Z28=""),ISTEXT(A28)),A28,IF(Z28="","",INDEX('liste reference'!$A$8:$A$904,Z28))))</f>
        <v>VAUSPX</v>
      </c>
      <c r="Z28" s="280" t="n">
        <f aca="false">IF(ISERROR(MATCH(A28,'liste reference'!$A$8:$A$904,0)),IF(ISERROR(MATCH(A28,'liste reference'!$B$8:$B$904,0)),"",(MATCH(A28,'liste reference'!$B$8:$B$904,0))),(MATCH(A28,'liste reference'!$A$8:$A$904,0)))</f>
        <v>82</v>
      </c>
      <c r="AA28" s="491"/>
      <c r="AB28" s="492"/>
      <c r="AC28" s="492"/>
      <c r="BB28" s="280" t="n">
        <f aca="false">IF(A28="","",1)</f>
        <v>1</v>
      </c>
    </row>
    <row r="29" customFormat="false" ht="12.75" hidden="false" customHeight="false" outlineLevel="0" collapsed="false">
      <c r="A29" s="493" t="s">
        <v>645</v>
      </c>
      <c r="B29" s="494" t="n">
        <v>0.005</v>
      </c>
      <c r="C29" s="495" t="n">
        <v>0.005</v>
      </c>
      <c r="D29" s="477" t="str">
        <f aca="false">IF(ISERROR(VLOOKUP($A29,'liste reference'!$A$7:$D$904,2,0)),IF(ISERROR(VLOOKUP($A29,'liste reference'!$B$7:$D$904,1,0)),"",VLOOKUP($A29,'liste reference'!$B$7:$D$904,1,0)),VLOOKUP($A29,'liste reference'!$A$7:$D$904,2,0))</f>
        <v>Amblystegium riparium</v>
      </c>
      <c r="E29" s="496" t="e">
        <f aca="false">IF(D29="",0,VLOOKUP(D29,D$22:D28,1,0))</f>
        <v>#N/A</v>
      </c>
      <c r="F29" s="497" t="n">
        <f aca="false">($B29*$B$7+$C29*$C$7)/100</f>
        <v>0.005</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5</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Amblystegium riparium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1219</v>
      </c>
      <c r="Q29" s="486" t="n">
        <f aca="false">IF(ISTEXT(H29),"",(B29*$B$7/100)+(C29*$C$7/100))</f>
        <v>0.005</v>
      </c>
      <c r="R29" s="487" t="n">
        <f aca="false">IF(OR(ISTEXT(H29),Q29=0),"",IF(Q29&lt;0.1,1,IF(Q29&lt;1,2,IF(Q29&lt;10,3,IF(Q29&lt;50,4,IF(Q29&gt;=50,5,""))))))</f>
        <v>1</v>
      </c>
      <c r="S29" s="487" t="n">
        <f aca="false">IF(ISERROR(R29*I29),0,R29*I29)</f>
        <v>5</v>
      </c>
      <c r="T29" s="487" t="n">
        <f aca="false">IF(ISERROR(R29*I29*J29),0,R29*I29*J29)</f>
        <v>10</v>
      </c>
      <c r="U29" s="499" t="n">
        <f aca="false">IF(ISERROR(R29*J29),0,R29*J29)</f>
        <v>2</v>
      </c>
      <c r="V29" s="488" t="str">
        <f aca="false">IF(AND(A29="",F29=0),"",IF(F29=0,"Il manque le(s) % de rec. !",""))</f>
        <v/>
      </c>
      <c r="W29" s="489"/>
      <c r="Y29" s="490" t="str">
        <f aca="false">IF(A29="new.cod","NEWCOD",IF(AND((Z29=""),ISTEXT(A29)),A29,IF(Z29="","",INDEX('liste reference'!$A$8:$A$904,Z29))))</f>
        <v>AMBRIP</v>
      </c>
      <c r="Z29" s="280" t="n">
        <f aca="false">IF(ISERROR(MATCH(A29,'liste reference'!$A$8:$A$904,0)),IF(ISERROR(MATCH(A29,'liste reference'!$B$8:$B$904,0)),"",(MATCH(A29,'liste reference'!$B$8:$B$904,0))),(MATCH(A29,'liste reference'!$A$8:$A$904,0)))</f>
        <v>148</v>
      </c>
      <c r="AA29" s="491"/>
      <c r="AB29" s="492"/>
      <c r="AC29" s="492"/>
      <c r="BB29" s="280" t="n">
        <f aca="false">IF(A29="","",1)</f>
        <v>1</v>
      </c>
    </row>
    <row r="30" customFormat="false" ht="12.75" hidden="false" customHeight="false" outlineLevel="0" collapsed="false">
      <c r="A30" s="493" t="s">
        <v>852</v>
      </c>
      <c r="B30" s="494"/>
      <c r="C30" s="495" t="n">
        <v>0.005</v>
      </c>
      <c r="D30" s="477" t="str">
        <f aca="false">IF(ISERROR(VLOOKUP($A30,'liste reference'!$A$7:$D$904,2,0)),IF(ISERROR(VLOOKUP($A30,'liste reference'!$B$7:$D$904,1,0)),"",VLOOKUP($A30,'liste reference'!$B$7:$D$904,1,0)),VLOOKUP($A30,'liste reference'!$A$7:$D$904,2,0))</f>
        <v>Fissidens crassipes</v>
      </c>
      <c r="E30" s="496" t="e">
        <f aca="false">IF(D30="",0,VLOOKUP(D30,D$22:D29,1,0))</f>
        <v>#N/A</v>
      </c>
      <c r="F30" s="497" t="n">
        <f aca="false">($B30*$B$7+$C30*$C$7)/100</f>
        <v>0.00395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crassipes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1294</v>
      </c>
      <c r="Q30" s="486" t="n">
        <f aca="false">IF(ISTEXT(H30),"",(B30*$B$7/100)+(C30*$C$7/100))</f>
        <v>0.00395</v>
      </c>
      <c r="R30" s="487" t="n">
        <f aca="false">IF(OR(ISTEXT(H30),Q30=0),"",IF(Q30&lt;0.1,1,IF(Q30&lt;1,2,IF(Q30&lt;10,3,IF(Q30&lt;50,4,IF(Q30&gt;=50,5,""))))))</f>
        <v>1</v>
      </c>
      <c r="S30" s="487" t="n">
        <f aca="false">IF(ISERROR(R30*I30),0,R30*I30)</f>
        <v>12</v>
      </c>
      <c r="T30" s="487" t="n">
        <f aca="false">IF(ISERROR(R30*I30*J30),0,R30*I30*J30)</f>
        <v>24</v>
      </c>
      <c r="U30" s="499" t="n">
        <f aca="false">IF(ISERROR(R30*J30),0,R30*J30)</f>
        <v>2</v>
      </c>
      <c r="V30" s="488" t="str">
        <f aca="false">IF(AND(A30="",F30=0),"",IF(F30=0,"Il manque le(s) % de rec. !",""))</f>
        <v/>
      </c>
      <c r="W30" s="489"/>
      <c r="Y30" s="490" t="str">
        <f aca="false">IF(A30="new.cod","NEWCOD",IF(AND((Z30=""),ISTEXT(A30)),A30,IF(Z30="","",INDEX('liste reference'!$A$8:$A$904,Z30))))</f>
        <v>FISCRA</v>
      </c>
      <c r="Z30" s="280" t="n">
        <f aca="false">IF(ISERROR(MATCH(A30,'liste reference'!$A$8:$A$904,0)),IF(ISERROR(MATCH(A30,'liste reference'!$B$8:$B$904,0)),"",(MATCH(A30,'liste reference'!$B$8:$B$904,0))),(MATCH(A30,'liste reference'!$A$8:$A$904,0)))</f>
        <v>197</v>
      </c>
      <c r="AA30" s="491"/>
      <c r="AB30" s="492"/>
      <c r="AC30" s="492"/>
      <c r="BB30" s="280" t="n">
        <f aca="false">IF(A30="","",1)</f>
        <v>1</v>
      </c>
    </row>
    <row r="31" customFormat="false" ht="12.75" hidden="false" customHeight="false" outlineLevel="0" collapsed="false">
      <c r="A31" s="493" t="s">
        <v>1054</v>
      </c>
      <c r="B31" s="494" t="n">
        <v>0.01</v>
      </c>
      <c r="C31" s="495"/>
      <c r="D31" s="477" t="str">
        <f aca="false">IF(ISERROR(VLOOKUP($A31,'liste reference'!$A$7:$D$904,2,0)),IF(ISERROR(VLOOKUP($A31,'liste reference'!$B$7:$D$904,1,0)),"",VLOOKUP($A31,'liste reference'!$B$7:$D$904,1,0)),VLOOKUP($A31,'liste reference'!$A$7:$D$904,2,0))</f>
        <v>Rhynchostegium riparioides</v>
      </c>
      <c r="E31" s="496" t="e">
        <f aca="false">IF(D31="",0,VLOOKUP(D31,D$22:D30,1,0))</f>
        <v>#N/A</v>
      </c>
      <c r="F31" s="497" t="n">
        <f aca="false">($B31*$B$7+$C31*$C$7)/100</f>
        <v>0.0021</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1268</v>
      </c>
      <c r="Q31" s="486" t="n">
        <f aca="false">IF(ISTEXT(H31),"",(B31*$B$7/100)+(C31*$C$7/100))</f>
        <v>0.0021</v>
      </c>
      <c r="R31" s="487" t="n">
        <f aca="false">IF(OR(ISTEXT(H31),Q31=0),"",IF(Q31&lt;0.1,1,IF(Q31&lt;1,2,IF(Q31&lt;10,3,IF(Q31&lt;50,4,IF(Q31&gt;=50,5,""))))))</f>
        <v>1</v>
      </c>
      <c r="S31" s="487" t="n">
        <f aca="false">IF(ISERROR(R31*I31),0,R31*I31)</f>
        <v>12</v>
      </c>
      <c r="T31" s="487" t="n">
        <f aca="false">IF(ISERROR(R31*I31*J31),0,R31*I31*J31)</f>
        <v>12</v>
      </c>
      <c r="U31" s="499" t="n">
        <f aca="false">IF(ISERROR(R31*J31),0,R31*J31)</f>
        <v>1</v>
      </c>
      <c r="V31" s="488" t="str">
        <f aca="false">IF(AND(A31="",F31=0),"",IF(F31=0,"Il manque le(s) % de rec. !",""))</f>
        <v/>
      </c>
      <c r="W31" s="489"/>
      <c r="Y31" s="490" t="str">
        <f aca="false">IF(A31="new.cod","NEWCOD",IF(AND((Z31=""),ISTEXT(A31)),A31,IF(Z31="","",INDEX('liste reference'!$A$8:$A$904,Z31))))</f>
        <v>RHYRIP</v>
      </c>
      <c r="Z31" s="280" t="n">
        <f aca="false">IF(ISERROR(MATCH(A31,'liste reference'!$A$8:$A$904,0)),IF(ISERROR(MATCH(A31,'liste reference'!$B$8:$B$904,0)),"",(MATCH(A31,'liste reference'!$B$8:$B$904,0))),(MATCH(A31,'liste reference'!$A$8:$A$904,0)))</f>
        <v>252</v>
      </c>
      <c r="AA31" s="491"/>
      <c r="AB31" s="492"/>
      <c r="AC31" s="492"/>
      <c r="BB31" s="280" t="n">
        <f aca="false">IF(A31="","",1)</f>
        <v>1</v>
      </c>
    </row>
    <row r="32" customFormat="false" ht="12.75" hidden="false" customHeight="false" outlineLevel="0" collapsed="false">
      <c r="A32" s="493" t="s">
        <v>1153</v>
      </c>
      <c r="B32" s="494" t="n">
        <v>0.01</v>
      </c>
      <c r="C32" s="495" t="n">
        <v>0.01</v>
      </c>
      <c r="D32" s="477" t="str">
        <f aca="false">IF(ISERROR(VLOOKUP($A32,'liste reference'!$A$7:$D$904,2,0)),IF(ISERROR(VLOOKUP($A32,'liste reference'!$B$7:$D$904,1,0)),"",VLOOKUP($A32,'liste reference'!$B$7:$D$904,1,0)),VLOOKUP($A32,'liste reference'!$A$7:$D$904,2,0))</f>
        <v>Equisetum arvense</v>
      </c>
      <c r="E32" s="496" t="e">
        <f aca="false">IF(D32="",0,VLOOKUP(D32,D$22:D31,1,0))</f>
        <v>#N/A</v>
      </c>
      <c r="F32" s="497" t="n">
        <f aca="false">($B32*$B$7+$C32*$C$7)/100</f>
        <v>0.01</v>
      </c>
      <c r="G32" s="479" t="str">
        <f aca="false">IF(A32="","",IF(ISERROR(VLOOKUP($A32,'liste reference'!$A$7:$P$904,13,0)),IF(ISERROR(VLOOKUP($A32,'liste reference'!$B$7:$P$904,12,0)),"    -",VLOOKUP($A32,'liste reference'!$B$7:$P$904,12,0)),VLOOKUP($A32,'liste reference'!$A$7:$P$904,13,0)))</f>
        <v>PTE</v>
      </c>
      <c r="H32" s="480" t="n">
        <f aca="false">IF(A32="","x",IF(ISERROR(VLOOKUP($A32,'liste reference'!$A$8:$P$904,14,0)),IF(ISERROR(VLOOKUP($A32,'liste reference'!$B$8:$P$904,13,0)),"x",VLOOKUP($A32,'liste reference'!$B$8:$P$904,13,0)),VLOOKUP($A32,'liste reference'!$A$8:$P$904,14,0)))</f>
        <v>6</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Equisetum arvense</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1384</v>
      </c>
      <c r="Q32" s="486" t="n">
        <f aca="false">IF(ISTEXT(H32),"",(B32*$B$7/100)+(C32*$C$7/100))</f>
        <v>0.01</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EQUARV</v>
      </c>
      <c r="Z32" s="280" t="n">
        <f aca="false">IF(ISERROR(MATCH(A32,'liste reference'!$A$8:$A$904,0)),IF(ISERROR(MATCH(A32,'liste reference'!$B$8:$B$904,0)),"",(MATCH(A32,'liste reference'!$B$8:$B$904,0))),(MATCH(A32,'liste reference'!$A$8:$A$904,0)))</f>
        <v>278</v>
      </c>
      <c r="AA32" s="491"/>
      <c r="AB32" s="492"/>
      <c r="AC32" s="492"/>
      <c r="BB32" s="280" t="n">
        <f aca="false">IF(A32="","",1)</f>
        <v>1</v>
      </c>
    </row>
    <row r="33" customFormat="false" ht="12.75" hidden="false" customHeight="false" outlineLevel="0" collapsed="false">
      <c r="A33" s="493" t="s">
        <v>1224</v>
      </c>
      <c r="B33" s="494" t="n">
        <v>0.05</v>
      </c>
      <c r="C33" s="495" t="n">
        <v>0.02</v>
      </c>
      <c r="D33" s="477" t="str">
        <f aca="false">IF(ISERROR(VLOOKUP($A33,'liste reference'!$A$7:$D$904,2,0)),IF(ISERROR(VLOOKUP($A33,'liste reference'!$B$7:$D$904,1,0)),"",VLOOKUP($A33,'liste reference'!$B$7:$D$904,1,0)),VLOOKUP($A33,'liste reference'!$A$7:$D$904,2,0))</f>
        <v>Apium nodiflorum</v>
      </c>
      <c r="E33" s="496" t="e">
        <f aca="false">IF(D33="",0,VLOOKUP(D33,D$22:D32,1,0))</f>
        <v>#N/A</v>
      </c>
      <c r="F33" s="497" t="n">
        <f aca="false">($B33*$B$7+$C33*$C$7)/100</f>
        <v>0.0263</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Apium nodiflorum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1974</v>
      </c>
      <c r="Q33" s="486" t="n">
        <f aca="false">IF(ISTEXT(H33),"",(B33*$B$7/100)+(C33*$C$7/100))</f>
        <v>0.0263</v>
      </c>
      <c r="R33" s="487" t="n">
        <f aca="false">IF(OR(ISTEXT(H33),Q33=0),"",IF(Q33&lt;0.1,1,IF(Q33&lt;1,2,IF(Q33&lt;10,3,IF(Q33&lt;50,4,IF(Q33&gt;=50,5,""))))))</f>
        <v>1</v>
      </c>
      <c r="S33" s="487" t="n">
        <f aca="false">IF(ISERROR(R33*I33),0,R33*I33)</f>
        <v>10</v>
      </c>
      <c r="T33" s="487" t="n">
        <f aca="false">IF(ISERROR(R33*I33*J33),0,R33*I33*J33)</f>
        <v>10</v>
      </c>
      <c r="U33" s="499" t="n">
        <f aca="false">IF(ISERROR(R33*J33),0,R33*J33)</f>
        <v>1</v>
      </c>
      <c r="V33" s="488" t="str">
        <f aca="false">IF(AND(A33="",F33=0),"",IF(F33=0,"Il manque le(s) % de rec. !",""))</f>
        <v/>
      </c>
      <c r="W33" s="489"/>
      <c r="X33" s="489"/>
      <c r="Y33" s="490" t="str">
        <f aca="false">IF(A33="new.cod","NEWCOD",IF(AND((Z33=""),ISTEXT(A33)),A33,IF(Z33="","",INDEX('liste reference'!$A$8:$A$904,Z33))))</f>
        <v>APINOD</v>
      </c>
      <c r="Z33" s="280" t="n">
        <f aca="false">IF(ISERROR(MATCH(A33,'liste reference'!$A$8:$A$904,0)),IF(ISERROR(MATCH(A33,'liste reference'!$B$8:$B$904,0)),"",(MATCH(A33,'liste reference'!$B$8:$B$904,0))),(MATCH(A33,'liste reference'!$A$8:$A$904,0)))</f>
        <v>309</v>
      </c>
      <c r="AA33" s="491"/>
      <c r="AB33" s="492"/>
      <c r="AC33" s="492"/>
      <c r="BB33" s="280" t="n">
        <f aca="false">IF(A33="","",1)</f>
        <v>1</v>
      </c>
    </row>
    <row r="34" customFormat="false" ht="12.75" hidden="false" customHeight="false" outlineLevel="0" collapsed="false">
      <c r="A34" s="493" t="s">
        <v>1337</v>
      </c>
      <c r="B34" s="494" t="n">
        <v>0.005</v>
      </c>
      <c r="C34" s="495" t="n">
        <v>0.005</v>
      </c>
      <c r="D34" s="477" t="str">
        <f aca="false">IF(ISERROR(VLOOKUP($A34,'liste reference'!$A$7:$D$904,2,0)),IF(ISERROR(VLOOKUP($A34,'liste reference'!$B$7:$D$904,1,0)),"",VLOOKUP($A34,'liste reference'!$B$7:$D$904,1,0)),VLOOKUP($A34,'liste reference'!$A$7:$D$904,2,0))</f>
        <v>Lemna minor</v>
      </c>
      <c r="E34" s="496" t="e">
        <f aca="false">IF(D34="",0,VLOOKUP(D34,D$22:D33,1,0))</f>
        <v>#N/A</v>
      </c>
      <c r="F34" s="501" t="n">
        <f aca="false">($B34*$B$7+$C34*$C$7)/100</f>
        <v>0.005</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Lemna minor</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1626</v>
      </c>
      <c r="Q34" s="486" t="n">
        <f aca="false">IF(ISTEXT(H34),"",(B34*$B$7/100)+(C34*$C$7/100))</f>
        <v>0.005</v>
      </c>
      <c r="R34" s="487" t="n">
        <f aca="false">IF(OR(ISTEXT(H34),Q34=0),"",IF(Q34&lt;0.1,1,IF(Q34&lt;1,2,IF(Q34&lt;10,3,IF(Q34&lt;50,4,IF(Q34&gt;=50,5,""))))))</f>
        <v>1</v>
      </c>
      <c r="S34" s="487" t="n">
        <f aca="false">IF(ISERROR(R34*I34),0,R34*I34)</f>
        <v>10</v>
      </c>
      <c r="T34" s="487" t="n">
        <f aca="false">IF(ISERROR(R34*I34*J34),0,R34*I34*J34)</f>
        <v>10</v>
      </c>
      <c r="U34" s="499" t="n">
        <f aca="false">IF(ISERROR(R34*J34),0,R34*J34)</f>
        <v>1</v>
      </c>
      <c r="V34" s="488" t="str">
        <f aca="false">IF(AND(A34="",F34=0),"",IF(F34=0,"Il manque le(s) % de rec. !",""))</f>
        <v/>
      </c>
      <c r="W34" s="489"/>
      <c r="Y34" s="490" t="str">
        <f aca="false">IF(A34="new.cod","NEWCOD",IF(AND((Z34=""),ISTEXT(A34)),A34,IF(Z34="","",INDEX('liste reference'!$A$8:$A$904,Z34))))</f>
        <v>LEMMIN</v>
      </c>
      <c r="Z34" s="280" t="n">
        <f aca="false">IF(ISERROR(MATCH(A34,'liste reference'!$A$8:$A$904,0)),IF(ISERROR(MATCH(A34,'liste reference'!$B$8:$B$904,0)),"",(MATCH(A34,'liste reference'!$B$8:$B$904,0))),(MATCH(A34,'liste reference'!$A$8:$A$904,0)))</f>
        <v>357</v>
      </c>
      <c r="AA34" s="491"/>
      <c r="AB34" s="492"/>
      <c r="AC34" s="492"/>
      <c r="BB34" s="280" t="n">
        <f aca="false">IF(A34="","",1)</f>
        <v>1</v>
      </c>
    </row>
    <row r="35" customFormat="false" ht="12.75" hidden="false" customHeight="false" outlineLevel="0" collapsed="false">
      <c r="A35" s="493" t="s">
        <v>1477</v>
      </c>
      <c r="B35" s="494" t="n">
        <v>0.01</v>
      </c>
      <c r="C35" s="495" t="n">
        <v>0.02</v>
      </c>
      <c r="D35" s="477" t="str">
        <f aca="false">IF(ISERROR(VLOOKUP($A35,'liste reference'!$A$7:$D$904,2,0)),IF(ISERROR(VLOOKUP($A35,'liste reference'!$B$7:$D$904,1,0)),"",VLOOKUP($A35,'liste reference'!$B$7:$D$904,1,0)),VLOOKUP($A35,'liste reference'!$A$7:$D$904,2,0))</f>
        <v>Potamogeton nodosus</v>
      </c>
      <c r="E35" s="496" t="e">
        <f aca="false">IF(D35="",0,VLOOKUP(D35,D$22:D34,1,0))</f>
        <v>#N/A</v>
      </c>
      <c r="F35" s="501" t="n">
        <f aca="false">($B35*$B$7+$C35*$C$7)/100</f>
        <v>0.0179</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4</v>
      </c>
      <c r="J35" s="481" t="n">
        <f aca="false">IF(ISNUMBER(H35),IF(ISERROR(VLOOKUP($A35,'liste reference'!$A$7:$P$904,4,0)),IF(ISERROR(VLOOKUP($A35,'liste reference'!$B$7:$P$904,3,0)),"",VLOOKUP($A35,'liste reference'!$B$7:$P$904,3,0)),VLOOKUP($A35,'liste reference'!$A$7:$P$904,4,0)),"")</f>
        <v>3</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Potamogeton nodosus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1652</v>
      </c>
      <c r="Q35" s="486" t="n">
        <f aca="false">IF(ISTEXT(H35),"",(B35*$B$7/100)+(C35*$C$7/100))</f>
        <v>0.0179</v>
      </c>
      <c r="R35" s="487" t="n">
        <f aca="false">IF(OR(ISTEXT(H35),Q35=0),"",IF(Q35&lt;0.1,1,IF(Q35&lt;1,2,IF(Q35&lt;10,3,IF(Q35&lt;50,4,IF(Q35&gt;=50,5,""))))))</f>
        <v>1</v>
      </c>
      <c r="S35" s="487" t="n">
        <f aca="false">IF(ISERROR(R35*I35),0,R35*I35)</f>
        <v>4</v>
      </c>
      <c r="T35" s="487" t="n">
        <f aca="false">IF(ISERROR(R35*I35*J35),0,R35*I35*J35)</f>
        <v>12</v>
      </c>
      <c r="U35" s="499" t="n">
        <f aca="false">IF(ISERROR(R35*J35),0,R35*J35)</f>
        <v>3</v>
      </c>
      <c r="V35" s="488" t="str">
        <f aca="false">IF(AND(A35="",F35=0),"",IF(F35=0,"Il manque le(s) % de rec. !",""))</f>
        <v/>
      </c>
      <c r="W35" s="489"/>
      <c r="Y35" s="490" t="str">
        <f aca="false">IF(A35="new.cod","NEWCOD",IF(AND((Z35=""),ISTEXT(A35)),A35,IF(Z35="","",INDEX('liste reference'!$A$8:$A$904,Z35))))</f>
        <v>POTNOD</v>
      </c>
      <c r="Z35" s="280" t="n">
        <f aca="false">IF(ISERROR(MATCH(A35,'liste reference'!$A$8:$A$904,0)),IF(ISERROR(MATCH(A35,'liste reference'!$B$8:$B$904,0)),"",(MATCH(A35,'liste reference'!$B$8:$B$904,0))),(MATCH(A35,'liste reference'!$A$8:$A$904,0)))</f>
        <v>418</v>
      </c>
      <c r="AA35" s="491"/>
      <c r="AB35" s="492"/>
      <c r="AC35" s="492"/>
      <c r="BB35" s="280" t="n">
        <f aca="false">IF(A35="","",1)</f>
        <v>1</v>
      </c>
    </row>
    <row r="36" customFormat="false" ht="12.75" hidden="false" customHeight="false" outlineLevel="0" collapsed="false">
      <c r="A36" s="493" t="s">
        <v>1708</v>
      </c>
      <c r="B36" s="494" t="n">
        <v>0.05</v>
      </c>
      <c r="C36" s="495" t="n">
        <v>0.05</v>
      </c>
      <c r="D36" s="477" t="str">
        <f aca="false">IF(ISERROR(VLOOKUP($A36,'liste reference'!$A$7:$D$904,2,0)),IF(ISERROR(VLOOKUP($A36,'liste reference'!$B$7:$D$904,1,0)),"",VLOOKUP($A36,'liste reference'!$B$7:$D$904,1,0)),VLOOKUP($A36,'liste reference'!$A$7:$D$904,2,0))</f>
        <v>Agrostis stolonifera</v>
      </c>
      <c r="E36" s="496" t="e">
        <f aca="false">IF(D36="",0,VLOOKUP(D36,D$22:D35,1,0))</f>
        <v>#N/A</v>
      </c>
      <c r="F36" s="501" t="n">
        <f aca="false">($B36*$B$7+$C36*$C$7)/100</f>
        <v>0.05</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Agrostis stolonifera</v>
      </c>
      <c r="L36" s="498"/>
      <c r="M36" s="498"/>
      <c r="N36" s="498"/>
      <c r="O36" s="484" t="s">
        <v>2686</v>
      </c>
      <c r="P36" s="485" t="n">
        <f aca="false">IF($A36="NEWCOD",IF($AC36="","No",$AC36),IF(ISTEXT($E36),"DEJA SAISI !",IF($A36="","",IF(ISERROR(VLOOKUP($A36,'liste reference'!A:S,19,FALSE())),IF(ISERROR(VLOOKUP($A36,'liste reference'!B:S,19,FALSE())),"",VLOOKUP($A36,'liste reference'!B:S,19,FALSE())),VLOOKUP($A36,'liste reference'!A:S,19,FALSE())))))</f>
        <v>1543</v>
      </c>
      <c r="Q36" s="486" t="n">
        <f aca="false">IF(ISTEXT(H36),"",(B36*$B$7/100)+(C36*$C$7/100))</f>
        <v>0.05</v>
      </c>
      <c r="R36" s="487" t="n">
        <f aca="false">IF(OR(ISTEXT(H36),Q36=0),"",IF(Q36&lt;0.1,1,IF(Q36&lt;1,2,IF(Q36&lt;10,3,IF(Q36&lt;50,4,IF(Q36&gt;=50,5,""))))))</f>
        <v>1</v>
      </c>
      <c r="S36" s="487" t="n">
        <f aca="false">IF(ISERROR(R36*I36),0,R36*I36)</f>
        <v>10</v>
      </c>
      <c r="T36" s="487" t="n">
        <f aca="false">IF(ISERROR(R36*I36*J36),0,R36*I36*J36)</f>
        <v>10</v>
      </c>
      <c r="U36" s="499" t="n">
        <f aca="false">IF(ISERROR(R36*J36),0,R36*J36)</f>
        <v>1</v>
      </c>
      <c r="V36" s="488" t="str">
        <f aca="false">IF(AND(A36="",F36=0),"",IF(F36=0,"Il manque le(s) % de rec. !",""))</f>
        <v/>
      </c>
      <c r="W36" s="489"/>
      <c r="Y36" s="490" t="str">
        <f aca="false">IF(A36="new.cod","NEWCOD",IF(AND((Z36=""),ISTEXT(A36)),A36,IF(Z36="","",INDEX('liste reference'!$A$8:$A$904,Z36))))</f>
        <v>AGRSTO</v>
      </c>
      <c r="Z36" s="280" t="n">
        <f aca="false">IF(ISERROR(MATCH(A36,'liste reference'!$A$8:$A$904,0)),IF(ISERROR(MATCH(A36,'liste reference'!$B$8:$B$904,0)),"",(MATCH(A36,'liste reference'!$B$8:$B$904,0))),(MATCH(A36,'liste reference'!$A$8:$A$904,0)))</f>
        <v>514</v>
      </c>
      <c r="AA36" s="491" t="s">
        <v>2686</v>
      </c>
      <c r="AB36" s="492"/>
      <c r="AC36" s="492"/>
      <c r="BB36" s="280" t="n">
        <f aca="false">IF(A36="","",1)</f>
        <v>1</v>
      </c>
    </row>
    <row r="37" customFormat="false" ht="12.75" hidden="false" customHeight="false" outlineLevel="0" collapsed="false">
      <c r="A37" s="493" t="s">
        <v>1847</v>
      </c>
      <c r="B37" s="494"/>
      <c r="C37" s="495" t="n">
        <v>0.005</v>
      </c>
      <c r="D37" s="477" t="str">
        <f aca="false">IF(ISERROR(VLOOKUP($A37,'liste reference'!$A$7:$D$904,2,0)),IF(ISERROR(VLOOKUP($A37,'liste reference'!$B$7:$D$904,1,0)),"",VLOOKUP($A37,'liste reference'!$B$7:$D$904,1,0)),VLOOKUP($A37,'liste reference'!$A$7:$D$904,2,0))</f>
        <v>Eupatorium cannabinum</v>
      </c>
      <c r="E37" s="496" t="e">
        <f aca="false">IF(D37="",0,VLOOKUP(D37,D$22:D36,1,0))</f>
        <v>#N/A</v>
      </c>
      <c r="F37" s="501" t="n">
        <f aca="false">($B37*$B$7+$C37*$C$7)/100</f>
        <v>0.00395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Eupatorium cannabinum</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1741</v>
      </c>
      <c r="Q37" s="486" t="n">
        <f aca="false">IF(ISTEXT(H37),"",(B37*$B$7/100)+(C37*$C$7/100))</f>
        <v>0.00395</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EUPCAN</v>
      </c>
      <c r="Z37" s="280" t="n">
        <f aca="false">IF(ISERROR(MATCH(A37,'liste reference'!$A$8:$A$904,0)),IF(ISERROR(MATCH(A37,'liste reference'!$B$8:$B$904,0)),"",(MATCH(A37,'liste reference'!$B$8:$B$904,0))),(MATCH(A37,'liste reference'!$A$8:$A$904,0)))</f>
        <v>568</v>
      </c>
      <c r="AA37" s="491"/>
      <c r="AB37" s="492"/>
      <c r="AC37" s="492"/>
      <c r="BB37" s="280" t="n">
        <f aca="false">IF(A37="","",1)</f>
        <v>1</v>
      </c>
    </row>
    <row r="38" customFormat="false" ht="12.75" hidden="false" customHeight="false" outlineLevel="0" collapsed="false">
      <c r="A38" s="493" t="s">
        <v>1913</v>
      </c>
      <c r="B38" s="494" t="n">
        <v>0.005</v>
      </c>
      <c r="C38" s="495" t="n">
        <v>0.005</v>
      </c>
      <c r="D38" s="477" t="str">
        <f aca="false">IF(ISERROR(VLOOKUP($A38,'liste reference'!$A$7:$D$904,2,0)),IF(ISERROR(VLOOKUP($A38,'liste reference'!$B$7:$D$904,1,0)),"",VLOOKUP($A38,'liste reference'!$B$7:$D$904,1,0)),VLOOKUP($A38,'liste reference'!$A$7:$D$904,2,0))</f>
        <v>Lycopus europaeus</v>
      </c>
      <c r="E38" s="496" t="e">
        <f aca="false">IF(D38="",0,VLOOKUP(D38,D$22:D37,1,0))</f>
        <v>#N/A</v>
      </c>
      <c r="F38" s="501" t="n">
        <f aca="false">($B38*$B$7+$C38*$C$7)/100</f>
        <v>0.005</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11</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Lycopus europaeus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1789</v>
      </c>
      <c r="Q38" s="486" t="n">
        <f aca="false">IF(ISTEXT(H38),"",(B38*$B$7/100)+(C38*$C$7/100))</f>
        <v>0.005</v>
      </c>
      <c r="R38" s="487" t="n">
        <f aca="false">IF(OR(ISTEXT(H38),Q38=0),"",IF(Q38&lt;0.1,1,IF(Q38&lt;1,2,IF(Q38&lt;10,3,IF(Q38&lt;50,4,IF(Q38&gt;=50,5,""))))))</f>
        <v>1</v>
      </c>
      <c r="S38" s="487" t="n">
        <f aca="false">IF(ISERROR(R38*I38),0,R38*I38)</f>
        <v>11</v>
      </c>
      <c r="T38" s="487" t="n">
        <f aca="false">IF(ISERROR(R38*I38*J38),0,R38*I38*J38)</f>
        <v>11</v>
      </c>
      <c r="U38" s="499" t="n">
        <f aca="false">IF(ISERROR(R38*J38),0,R38*J38)</f>
        <v>1</v>
      </c>
      <c r="V38" s="488" t="str">
        <f aca="false">IF(AND(A38="",F38=0),"",IF(F38=0,"Il manque le(s) % de rec. !",""))</f>
        <v/>
      </c>
      <c r="W38" s="489"/>
      <c r="Y38" s="490" t="str">
        <f aca="false">IF(A38="new.cod","NEWCOD",IF(AND((Z38=""),ISTEXT(A38)),A38,IF(Z38="","",INDEX('liste reference'!$A$8:$A$904,Z38))))</f>
        <v>LYCEUR</v>
      </c>
      <c r="Z38" s="280" t="n">
        <f aca="false">IF(ISERROR(MATCH(A38,'liste reference'!$A$8:$A$904,0)),IF(ISERROR(MATCH(A38,'liste reference'!$B$8:$B$904,0)),"",(MATCH(A38,'liste reference'!$B$8:$B$904,0))),(MATCH(A38,'liste reference'!$A$8:$A$904,0)))</f>
        <v>596</v>
      </c>
      <c r="AA38" s="491"/>
      <c r="AB38" s="492"/>
      <c r="AC38" s="492"/>
      <c r="BB38" s="280" t="n">
        <f aca="false">IF(A38="","",1)</f>
        <v>1</v>
      </c>
    </row>
    <row r="39" customFormat="false" ht="12.75" hidden="false" customHeight="false" outlineLevel="0" collapsed="false">
      <c r="A39" s="493" t="s">
        <v>1923</v>
      </c>
      <c r="B39" s="494"/>
      <c r="C39" s="495" t="n">
        <v>0.005</v>
      </c>
      <c r="D39" s="477" t="str">
        <f aca="false">IF(ISERROR(VLOOKUP($A39,'liste reference'!$A$7:$D$904,2,0)),IF(ISERROR(VLOOKUP($A39,'liste reference'!$B$7:$D$904,1,0)),"",VLOOKUP($A39,'liste reference'!$B$7:$D$904,1,0)),VLOOKUP($A39,'liste reference'!$A$7:$D$904,2,0))</f>
        <v>Lysimachia vulgaris</v>
      </c>
      <c r="E39" s="496" t="e">
        <f aca="false">IF(D39="",0,VLOOKUP(D39,D$22:D38,1,0))</f>
        <v>#N/A</v>
      </c>
      <c r="F39" s="501" t="n">
        <f aca="false">($B39*$B$7+$C39*$C$7)/100</f>
        <v>0.00395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Lysimachia vulgaris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1887</v>
      </c>
      <c r="Q39" s="486" t="n">
        <f aca="false">IF(ISTEXT(H39),"",(B39*$B$7/100)+(C39*$C$7/100))</f>
        <v>0.00395</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LYSVUL</v>
      </c>
      <c r="Z39" s="280" t="n">
        <f aca="false">IF(ISERROR(MATCH(A39,'liste reference'!$A$8:$A$904,0)),IF(ISERROR(MATCH(A39,'liste reference'!$B$8:$B$904,0)),"",(MATCH(A39,'liste reference'!$B$8:$B$904,0))),(MATCH(A39,'liste reference'!$A$8:$A$904,0)))</f>
        <v>601</v>
      </c>
      <c r="AA39" s="491"/>
      <c r="AB39" s="492"/>
      <c r="AC39" s="492"/>
      <c r="BB39" s="280" t="n">
        <f aca="false">IF(A39="","",1)</f>
        <v>1</v>
      </c>
    </row>
    <row r="40" customFormat="false" ht="12.75" hidden="false" customHeight="false" outlineLevel="0" collapsed="false">
      <c r="A40" s="493" t="s">
        <v>1932</v>
      </c>
      <c r="B40" s="494"/>
      <c r="C40" s="495" t="n">
        <v>0.01</v>
      </c>
      <c r="D40" s="477" t="str">
        <f aca="false">IF(ISERROR(VLOOKUP($A40,'liste reference'!$A$7:$D$904,2,0)),IF(ISERROR(VLOOKUP($A40,'liste reference'!$B$7:$D$904,1,0)),"",VLOOKUP($A40,'liste reference'!$B$7:$D$904,1,0)),VLOOKUP($A40,'liste reference'!$A$7:$D$904,2,0))</f>
        <v>Lythrum salicaria</v>
      </c>
      <c r="E40" s="496" t="e">
        <f aca="false">IF(D40="",0,VLOOKUP(D40,D$22:D39,1,0))</f>
        <v>#N/A</v>
      </c>
      <c r="F40" s="501" t="n">
        <f aca="false">($B40*$B$7+$C40*$C$7)/100</f>
        <v>0.0079</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Lythrum salicaria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1823</v>
      </c>
      <c r="Q40" s="486" t="n">
        <f aca="false">IF(ISTEXT(H40),"",(B40*$B$7/100)+(C40*$C$7/100))</f>
        <v>0.0079</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LYTSAL</v>
      </c>
      <c r="Z40" s="280" t="n">
        <f aca="false">IF(ISERROR(MATCH(A40,'liste reference'!$A$8:$A$904,0)),IF(ISERROR(MATCH(A40,'liste reference'!$B$8:$B$904,0)),"",(MATCH(A40,'liste reference'!$B$8:$B$904,0))),(MATCH(A40,'liste reference'!$A$8:$A$904,0)))</f>
        <v>605</v>
      </c>
      <c r="AA40" s="491"/>
      <c r="AB40" s="492"/>
      <c r="AC40" s="492"/>
      <c r="BB40" s="280" t="n">
        <f aca="false">IF(A40="","",1)</f>
        <v>1</v>
      </c>
    </row>
    <row r="41" customFormat="false" ht="12.75" hidden="false" customHeight="false" outlineLevel="0" collapsed="false">
      <c r="A41" s="493" t="s">
        <v>1936</v>
      </c>
      <c r="B41" s="494" t="n">
        <v>0.25</v>
      </c>
      <c r="C41" s="495" t="n">
        <v>0.5</v>
      </c>
      <c r="D41" s="477" t="str">
        <f aca="false">IF(ISERROR(VLOOKUP($A41,'liste reference'!$A$7:$D$904,2,0)),IF(ISERROR(VLOOKUP($A41,'liste reference'!$B$7:$D$904,1,0)),"",VLOOKUP($A41,'liste reference'!$B$7:$D$904,1,0)),VLOOKUP($A41,'liste reference'!$A$7:$D$904,2,0))</f>
        <v>Mentha aquatica</v>
      </c>
      <c r="E41" s="496" t="e">
        <f aca="false">IF(D41="",0,VLOOKUP(D41,D$22:D40,1,0))</f>
        <v>#N/A</v>
      </c>
      <c r="F41" s="501" t="n">
        <f aca="false">($B41*$B$7+$C41*$C$7)/100</f>
        <v>0.4475</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12</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Mentha aquatica</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1791</v>
      </c>
      <c r="Q41" s="486" t="n">
        <f aca="false">IF(ISTEXT(H41),"",(B41*$B$7/100)+(C41*$C$7/100))</f>
        <v>0.4475</v>
      </c>
      <c r="R41" s="487" t="n">
        <f aca="false">IF(OR(ISTEXT(H41),Q41=0),"",IF(Q41&lt;0.1,1,IF(Q41&lt;1,2,IF(Q41&lt;10,3,IF(Q41&lt;50,4,IF(Q41&gt;=50,5,""))))))</f>
        <v>2</v>
      </c>
      <c r="S41" s="487" t="n">
        <f aca="false">IF(ISERROR(R41*I41),0,R41*I41)</f>
        <v>24</v>
      </c>
      <c r="T41" s="487" t="n">
        <f aca="false">IF(ISERROR(R41*I41*J41),0,R41*I41*J41)</f>
        <v>24</v>
      </c>
      <c r="U41" s="499" t="n">
        <f aca="false">IF(ISERROR(R41*J41),0,R41*J41)</f>
        <v>2</v>
      </c>
      <c r="V41" s="488" t="str">
        <f aca="false">IF(AND(A41="",F41=0),"",IF(F41=0,"Il manque le(s) % de rec. !",""))</f>
        <v/>
      </c>
      <c r="W41" s="489"/>
      <c r="Y41" s="490" t="str">
        <f aca="false">IF(A41="new.cod","NEWCOD",IF(AND((Z41=""),ISTEXT(A41)),A41,IF(Z41="","",INDEX('liste reference'!$A$8:$A$904,Z41))))</f>
        <v>MENAQU</v>
      </c>
      <c r="Z41" s="280" t="n">
        <f aca="false">IF(ISERROR(MATCH(A41,'liste reference'!$A$8:$A$904,0)),IF(ISERROR(MATCH(A41,'liste reference'!$B$8:$B$904,0)),"",(MATCH(A41,'liste reference'!$B$8:$B$904,0))),(MATCH(A41,'liste reference'!$A$8:$A$904,0)))</f>
        <v>607</v>
      </c>
      <c r="AA41" s="491"/>
      <c r="AB41" s="492"/>
      <c r="AC41" s="492"/>
      <c r="BB41" s="280" t="n">
        <f aca="false">IF(A41="","",1)</f>
        <v>1</v>
      </c>
    </row>
    <row r="42" customFormat="false" ht="12.75" hidden="false" customHeight="false" outlineLevel="0" collapsed="false">
      <c r="A42" s="493" t="s">
        <v>1984</v>
      </c>
      <c r="B42" s="494" t="n">
        <v>0.02</v>
      </c>
      <c r="C42" s="495" t="n">
        <v>0.01</v>
      </c>
      <c r="D42" s="477" t="str">
        <f aca="false">IF(ISERROR(VLOOKUP($A42,'liste reference'!$A$7:$D$904,2,0)),IF(ISERROR(VLOOKUP($A42,'liste reference'!$B$7:$D$904,1,0)),"",VLOOKUP($A42,'liste reference'!$B$7:$D$904,1,0)),VLOOKUP($A42,'liste reference'!$A$7:$D$904,2,0))</f>
        <v>Nasturtium officinale</v>
      </c>
      <c r="E42" s="496" t="e">
        <f aca="false">IF(D42="",0,VLOOKUP(D42,D$22:D41,1,0))</f>
        <v>#N/A</v>
      </c>
      <c r="F42" s="501" t="n">
        <f aca="false">($B42*$B$7+$C42*$C$7)/100</f>
        <v>0.0121</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11</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Nasturtium officinale</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1763</v>
      </c>
      <c r="Q42" s="486" t="n">
        <f aca="false">IF(ISTEXT(H42),"",(B42*$B$7/100)+(C42*$C$7/100))</f>
        <v>0.0121</v>
      </c>
      <c r="R42" s="487" t="n">
        <f aca="false">IF(OR(ISTEXT(H42),Q42=0),"",IF(Q42&lt;0.1,1,IF(Q42&lt;1,2,IF(Q42&lt;10,3,IF(Q42&lt;50,4,IF(Q42&gt;=50,5,""))))))</f>
        <v>1</v>
      </c>
      <c r="S42" s="487" t="n">
        <f aca="false">IF(ISERROR(R42*I42),0,R42*I42)</f>
        <v>11</v>
      </c>
      <c r="T42" s="487" t="n">
        <f aca="false">IF(ISERROR(R42*I42*J42),0,R42*I42*J42)</f>
        <v>11</v>
      </c>
      <c r="U42" s="499" t="n">
        <f aca="false">IF(ISERROR(R42*J42),0,R42*J42)</f>
        <v>1</v>
      </c>
      <c r="V42" s="488" t="str">
        <f aca="false">IF(AND(A42="",F42=0),"",IF(F42=0,"Il manque le(s) % de rec. !",""))</f>
        <v/>
      </c>
      <c r="W42" s="489"/>
      <c r="Y42" s="490" t="str">
        <f aca="false">IF(A42="new.cod","NEWCOD",IF(AND((Z42=""),ISTEXT(A42)),A42,IF(Z42="","",INDEX('liste reference'!$A$8:$A$904,Z42))))</f>
        <v>NASOFF</v>
      </c>
      <c r="Z42" s="280" t="n">
        <f aca="false">IF(ISERROR(MATCH(A42,'liste reference'!$A$8:$A$904,0)),IF(ISERROR(MATCH(A42,'liste reference'!$B$8:$B$904,0)),"",(MATCH(A42,'liste reference'!$B$8:$B$904,0))),(MATCH(A42,'liste reference'!$A$8:$A$904,0)))</f>
        <v>628</v>
      </c>
      <c r="AA42" s="491"/>
      <c r="AB42" s="492"/>
      <c r="AC42" s="492"/>
      <c r="BB42" s="280" t="n">
        <f aca="false">IF(A42="","",1)</f>
        <v>1</v>
      </c>
    </row>
    <row r="43" customFormat="false" ht="12.75" hidden="false" customHeight="false" outlineLevel="0" collapsed="false">
      <c r="A43" s="493" t="s">
        <v>2000</v>
      </c>
      <c r="B43" s="494" t="n">
        <v>1</v>
      </c>
      <c r="C43" s="495" t="n">
        <v>1.5</v>
      </c>
      <c r="D43" s="477" t="str">
        <f aca="false">IF(ISERROR(VLOOKUP($A43,'liste reference'!$A$7:$D$904,2,0)),IF(ISERROR(VLOOKUP($A43,'liste reference'!$B$7:$D$904,1,0)),"",VLOOKUP($A43,'liste reference'!$B$7:$D$904,1,0)),VLOOKUP($A43,'liste reference'!$A$7:$D$904,2,0))</f>
        <v>Phalaris arundinacea</v>
      </c>
      <c r="E43" s="496" t="e">
        <f aca="false">IF(D43="",0,VLOOKUP(D43,D$22:D42,1,0))</f>
        <v>#N/A</v>
      </c>
      <c r="F43" s="501" t="n">
        <f aca="false">($B43*$B$7+$C43*$C$7)/100</f>
        <v>1.395</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10</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Phalaris arundinacea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1577</v>
      </c>
      <c r="Q43" s="486" t="n">
        <f aca="false">IF(ISTEXT(H43),"",(B43*$B$7/100)+(C43*$C$7/100))</f>
        <v>1.395</v>
      </c>
      <c r="R43" s="487" t="n">
        <f aca="false">IF(OR(ISTEXT(H43),Q43=0),"",IF(Q43&lt;0.1,1,IF(Q43&lt;1,2,IF(Q43&lt;10,3,IF(Q43&lt;50,4,IF(Q43&gt;=50,5,""))))))</f>
        <v>3</v>
      </c>
      <c r="S43" s="487" t="n">
        <f aca="false">IF(ISERROR(R43*I43),0,R43*I43)</f>
        <v>30</v>
      </c>
      <c r="T43" s="487" t="n">
        <f aca="false">IF(ISERROR(R43*I43*J43),0,R43*I43*J43)</f>
        <v>30</v>
      </c>
      <c r="U43" s="499" t="n">
        <f aca="false">IF(ISERROR(R43*J43),0,R43*J43)</f>
        <v>3</v>
      </c>
      <c r="V43" s="488" t="str">
        <f aca="false">IF(AND(A43="",F43=0),"",IF(F43=0,"Il manque le(s) % de rec. !",""))</f>
        <v/>
      </c>
      <c r="W43" s="489"/>
      <c r="Y43" s="490" t="str">
        <f aca="false">IF(A43="new.cod","NEWCOD",IF(AND((Z43=""),ISTEXT(A43)),A43,IF(Z43="","",INDEX('liste reference'!$A$8:$A$904,Z43))))</f>
        <v>PHAARU</v>
      </c>
      <c r="Z43" s="280" t="n">
        <f aca="false">IF(ISERROR(MATCH(A43,'liste reference'!$A$8:$A$904,0)),IF(ISERROR(MATCH(A43,'liste reference'!$B$8:$B$904,0)),"",(MATCH(A43,'liste reference'!$B$8:$B$904,0))),(MATCH(A43,'liste reference'!$A$8:$A$904,0)))</f>
        <v>634</v>
      </c>
      <c r="AA43" s="491"/>
      <c r="AB43" s="492"/>
      <c r="AC43" s="492"/>
      <c r="BB43" s="280" t="n">
        <f aca="false">IF(A43="","",1)</f>
        <v>1</v>
      </c>
    </row>
    <row r="44" customFormat="false" ht="12.75" hidden="false" customHeight="false" outlineLevel="0" collapsed="false">
      <c r="A44" s="493" t="s">
        <v>2109</v>
      </c>
      <c r="B44" s="494" t="n">
        <v>0.005</v>
      </c>
      <c r="C44" s="495" t="n">
        <v>0.02</v>
      </c>
      <c r="D44" s="477" t="str">
        <f aca="false">IF(ISERROR(VLOOKUP($A44,'liste reference'!$A$7:$D$904,2,0)),IF(ISERROR(VLOOKUP($A44,'liste reference'!$B$7:$D$904,1,0)),"",VLOOKUP($A44,'liste reference'!$B$7:$D$904,1,0)),VLOOKUP($A44,'liste reference'!$A$7:$D$904,2,0))</f>
        <v>Veronica anagallis-aquatica</v>
      </c>
      <c r="E44" s="496" t="e">
        <f aca="false">IF(D44="",0,VLOOKUP(D44,D$22:D43,1,0))</f>
        <v>#N/A</v>
      </c>
      <c r="F44" s="501" t="n">
        <f aca="false">($B44*$B$7+$C44*$C$7)/100</f>
        <v>0.01685</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11</v>
      </c>
      <c r="J44" s="481" t="n">
        <f aca="false">IF(ISNUMBER(H44),IF(ISERROR(VLOOKUP($A44,'liste reference'!$A$7:$P$904,4,0)),IF(ISERROR(VLOOKUP($A44,'liste reference'!$B$7:$P$904,3,0)),"",VLOOKUP($A44,'liste reference'!$B$7:$P$904,3,0)),VLOOKUP($A44,'liste reference'!$A$7:$P$904,4,0)),"")</f>
        <v>2</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Veronica anagallis-aquatica</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1955</v>
      </c>
      <c r="Q44" s="486" t="n">
        <f aca="false">IF(ISTEXT(H44),"",(B44*$B$7/100)+(C44*$C$7/100))</f>
        <v>0.01685</v>
      </c>
      <c r="R44" s="487" t="n">
        <f aca="false">IF(OR(ISTEXT(H44),Q44=0),"",IF(Q44&lt;0.1,1,IF(Q44&lt;1,2,IF(Q44&lt;10,3,IF(Q44&lt;50,4,IF(Q44&gt;=50,5,""))))))</f>
        <v>1</v>
      </c>
      <c r="S44" s="487" t="n">
        <f aca="false">IF(ISERROR(R44*I44),0,R44*I44)</f>
        <v>11</v>
      </c>
      <c r="T44" s="487" t="n">
        <f aca="false">IF(ISERROR(R44*I44*J44),0,R44*I44*J44)</f>
        <v>22</v>
      </c>
      <c r="U44" s="499" t="n">
        <f aca="false">IF(ISERROR(R44*J44),0,R44*J44)</f>
        <v>2</v>
      </c>
      <c r="V44" s="488" t="str">
        <f aca="false">IF(AND(A44="",F44=0),"",IF(F44=0,"Il manque le(s) % de rec. !",""))</f>
        <v/>
      </c>
      <c r="W44" s="489"/>
      <c r="Y44" s="490" t="str">
        <f aca="false">IF(A44="new.cod","NEWCOD",IF(AND((Z44=""),ISTEXT(A44)),A44,IF(Z44="","",INDEX('liste reference'!$A$8:$A$904,Z44))))</f>
        <v>VERANA</v>
      </c>
      <c r="Z44" s="280" t="n">
        <f aca="false">IF(ISERROR(MATCH(A44,'liste reference'!$A$8:$A$904,0)),IF(ISERROR(MATCH(A44,'liste reference'!$B$8:$B$904,0)),"",(MATCH(A44,'liste reference'!$B$8:$B$904,0))),(MATCH(A44,'liste reference'!$A$8:$A$904,0)))</f>
        <v>682</v>
      </c>
      <c r="AA44" s="491"/>
      <c r="AB44" s="492"/>
      <c r="AC44" s="492"/>
      <c r="BB44" s="280" t="n">
        <f aca="false">IF(A44="","",1)</f>
        <v>1</v>
      </c>
    </row>
    <row r="45" customFormat="false" ht="12.75" hidden="false" customHeight="false" outlineLevel="0" collapsed="false">
      <c r="A45" s="493" t="s">
        <v>2147</v>
      </c>
      <c r="B45" s="494" t="n">
        <v>1</v>
      </c>
      <c r="C45" s="495"/>
      <c r="D45" s="477" t="str">
        <f aca="false">IF(ISERROR(VLOOKUP($A45,'liste reference'!$A$7:$D$904,2,0)),IF(ISERROR(VLOOKUP($A45,'liste reference'!$B$7:$D$904,1,0)),"",VLOOKUP($A45,'liste reference'!$B$7:$D$904,1,0)),VLOOKUP($A45,'liste reference'!$A$7:$D$904,2,0))</f>
        <v>Arundo donax</v>
      </c>
      <c r="E45" s="496" t="e">
        <f aca="false">IF(D45="",0,VLOOKUP(D45,D$22:D37,1,0))</f>
        <v>#N/A</v>
      </c>
      <c r="F45" s="501" t="n">
        <f aca="false">($B45*$B$7+$C45*$C$7)/100</f>
        <v>0.21</v>
      </c>
      <c r="G45" s="479" t="str">
        <f aca="false">IF(A45="","",IF(ISERROR(VLOOKUP($A45,'liste reference'!$A$7:$P$904,13,0)),IF(ISERROR(VLOOKUP($A45,'liste reference'!$B$7:$P$904,12,0)),"    -",VLOOKUP($A45,'liste reference'!$B$7:$P$904,12,0)),VLOOKUP($A45,'liste reference'!$A$7:$P$904,13,0)))</f>
        <v>PHg</v>
      </c>
      <c r="H45" s="480" t="n">
        <f aca="false">IF(A45="","x",IF(ISERROR(VLOOKUP($A45,'liste reference'!$A$8:$P$904,14,0)),IF(ISERROR(VLOOKUP($A45,'liste reference'!$B$8:$P$904,13,0)),"x",VLOOKUP($A45,'liste reference'!$B$8:$P$904,13,0)),VLOOKUP($A45,'liste reference'!$A$8:$P$904,14,0)))</f>
        <v>9</v>
      </c>
      <c r="I45" s="481" t="n">
        <f aca="false">IF(ISNUMBER(H45),IF(ISERROR(VLOOKUP($A45,'liste reference'!$A$7:$P$904,3,0)),IF(ISERROR(VLOOKUP($A45,'liste reference'!$B$7:$P$904,2,0)),"",VLOOKUP($A45,'liste reference'!$B$7:$P$904,2,0)),VLOOKUP($A45,'liste reference'!$A$7:$P$904,3,0)),"")</f>
        <v>0</v>
      </c>
      <c r="J45" s="481" t="n">
        <f aca="false">IF(ISNUMBER(H45),IF(ISERROR(VLOOKUP($A45,'liste reference'!$A$7:$P$904,4,0)),IF(ISERROR(VLOOKUP($A45,'liste reference'!$B$7:$P$904,3,0)),"",VLOOKUP($A45,'liste reference'!$B$7:$P$904,3,0)),VLOOKUP($A45,'liste reference'!$A$7:$P$904,4,0)),"")</f>
        <v>0</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Arundo donax</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1551</v>
      </c>
      <c r="Q45" s="486" t="n">
        <f aca="false">IF(ISTEXT(H45),"",(B45*$B$7/100)+(C45*$C$7/100))</f>
        <v>0.21</v>
      </c>
      <c r="R45" s="487" t="n">
        <f aca="false">IF(OR(ISTEXT(H45),Q45=0),"",IF(Q45&lt;0.1,1,IF(Q45&lt;1,2,IF(Q45&lt;10,3,IF(Q45&lt;50,4,IF(Q45&gt;=50,5,""))))))</f>
        <v>2</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ARUDON</v>
      </c>
      <c r="Z45" s="280" t="n">
        <f aca="false">IF(ISERROR(MATCH(A45,'liste reference'!$A$8:$A$904,0)),IF(ISERROR(MATCH(A45,'liste reference'!$B$8:$B$904,0)),"",(MATCH(A45,'liste reference'!$B$8:$B$904,0))),(MATCH(A45,'liste reference'!$A$8:$A$904,0)))</f>
        <v>698</v>
      </c>
      <c r="AA45" s="491"/>
      <c r="AB45" s="492"/>
      <c r="AC45" s="492"/>
      <c r="BB45" s="280" t="n">
        <f aca="false">IF(A45="","",1)</f>
        <v>1</v>
      </c>
    </row>
    <row r="46" customFormat="false" ht="12.75" hidden="false" customHeight="false" outlineLevel="0" collapsed="false">
      <c r="A46" s="493" t="s">
        <v>2436</v>
      </c>
      <c r="B46" s="494"/>
      <c r="C46" s="495" t="n">
        <v>0.005</v>
      </c>
      <c r="D46" s="477" t="str">
        <f aca="false">IF(ISERROR(VLOOKUP($A46,'liste reference'!$A$7:$D$904,2,0)),IF(ISERROR(VLOOKUP($A46,'liste reference'!$B$7:$D$904,1,0)),"",VLOOKUP($A46,'liste reference'!$B$7:$D$904,1,0)),VLOOKUP($A46,'liste reference'!$A$7:$D$904,2,0))</f>
        <v>Solanum dulcamara</v>
      </c>
      <c r="E46" s="496" t="e">
        <f aca="false">IF(D46="",0,VLOOKUP(D46,D$22:D45,1,0))</f>
        <v>#N/A</v>
      </c>
      <c r="F46" s="501" t="n">
        <f aca="false">($B46*$B$7+$C46*$C$7)/100</f>
        <v>0.00395</v>
      </c>
      <c r="G46" s="479" t="str">
        <f aca="false">IF(A46="","",IF(ISERROR(VLOOKUP($A46,'liste reference'!$A$7:$P$904,13,0)),IF(ISERROR(VLOOKUP($A46,'liste reference'!$B$7:$P$904,12,0)),"    -",VLOOKUP($A46,'liste reference'!$B$7:$P$904,12,0)),VLOOKUP($A46,'liste reference'!$A$7:$P$904,13,0)))</f>
        <v>PHg</v>
      </c>
      <c r="H46" s="480" t="n">
        <f aca="false">IF(A46="","x",IF(ISERROR(VLOOKUP($A46,'liste reference'!$A$8:$P$904,14,0)),IF(ISERROR(VLOOKUP($A46,'liste reference'!$B$8:$P$904,13,0)),"x",VLOOKUP($A46,'liste reference'!$B$8:$P$904,13,0)),VLOOKUP($A46,'liste reference'!$A$8:$P$904,14,0)))</f>
        <v>9</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Solanum dulcamara</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1964</v>
      </c>
      <c r="Q46" s="486" t="n">
        <f aca="false">IF(ISTEXT(H46),"",(B46*$B$7/100)+(C46*$C$7/100))</f>
        <v>0.00395</v>
      </c>
      <c r="R46" s="487" t="n">
        <f aca="false">IF(OR(ISTEXT(H46),Q46=0),"",IF(Q46&lt;0.1,1,IF(Q46&lt;1,2,IF(Q46&lt;10,3,IF(Q46&lt;50,4,IF(Q46&gt;=50,5,""))))))</f>
        <v>1</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SOADUL</v>
      </c>
      <c r="Z46" s="280" t="n">
        <f aca="false">IF(ISERROR(MATCH(A46,'liste reference'!$A$8:$A$904,0)),IF(ISERROR(MATCH(A46,'liste reference'!$B$8:$B$904,0)),"",(MATCH(A46,'liste reference'!$B$8:$B$904,0))),(MATCH(A46,'liste reference'!$A$8:$A$904,0)))</f>
        <v>824</v>
      </c>
      <c r="AA46" s="491"/>
      <c r="AB46" s="492"/>
      <c r="AC46" s="492"/>
      <c r="BB46" s="280" t="n">
        <f aca="false">IF(A46="","",1)</f>
        <v>1</v>
      </c>
    </row>
    <row r="47" customFormat="false" ht="12.75" hidden="false" customHeight="false" outlineLevel="0" collapsed="false">
      <c r="A47" s="493" t="s">
        <v>2167</v>
      </c>
      <c r="B47" s="494" t="n">
        <v>0.005</v>
      </c>
      <c r="C47" s="495"/>
      <c r="D47" s="477" t="str">
        <f aca="false">IF(ISERROR(VLOOKUP($A47,'liste reference'!$A$7:$D$904,2,0)),IF(ISERROR(VLOOKUP($A47,'liste reference'!$B$7:$D$904,1,0)),"",VLOOKUP($A47,'liste reference'!$B$7:$D$904,1,0)),VLOOKUP($A47,'liste reference'!$A$7:$D$904,2,0))</f>
        <v>Calystegia sepium</v>
      </c>
      <c r="E47" s="496" t="e">
        <f aca="false">IF(D47="",0,VLOOKUP(D47,D$22:D39,1,0))</f>
        <v>#N/A</v>
      </c>
      <c r="F47" s="501" t="n">
        <f aca="false">($B47*$B$7+$C47*$C$7)/100</f>
        <v>0.00105</v>
      </c>
      <c r="G47" s="479" t="str">
        <f aca="false">IF(A47="","",IF(ISERROR(VLOOKUP($A47,'liste reference'!$A$7:$P$904,13,0)),IF(ISERROR(VLOOKUP($A47,'liste reference'!$B$7:$P$904,12,0)),"    -",VLOOKUP($A47,'liste reference'!$B$7:$P$904,12,0)),VLOOKUP($A47,'liste reference'!$A$7:$P$904,13,0)))</f>
        <v>PHg</v>
      </c>
      <c r="H47" s="480" t="n">
        <f aca="false">IF(A47="","x",IF(ISERROR(VLOOKUP($A47,'liste reference'!$A$8:$P$904,14,0)),IF(ISERROR(VLOOKUP($A47,'liste reference'!$B$8:$P$904,13,0)),"x",VLOOKUP($A47,'liste reference'!$B$8:$P$904,13,0)),VLOOKUP($A47,'liste reference'!$A$8:$P$904,14,0)))</f>
        <v>9</v>
      </c>
      <c r="I47" s="481" t="n">
        <f aca="false">IF(ISNUMBER(H47),IF(ISERROR(VLOOKUP($A47,'liste reference'!$A$7:$P$904,3,0)),IF(ISERROR(VLOOKUP($A47,'liste reference'!$B$7:$P$904,2,0)),"",VLOOKUP($A47,'liste reference'!$B$7:$P$904,2,0)),VLOOKUP($A47,'liste reference'!$A$7:$P$904,3,0)),"")</f>
        <v>0</v>
      </c>
      <c r="J47" s="481" t="n">
        <f aca="false">IF(ISNUMBER(H47),IF(ISERROR(VLOOKUP($A47,'liste reference'!$A$7:$P$904,4,0)),IF(ISERROR(VLOOKUP($A47,'liste reference'!$B$7:$P$904,3,0)),"",VLOOKUP($A47,'liste reference'!$B$7:$P$904,3,0)),VLOOKUP($A47,'liste reference'!$A$7:$P$904,4,0)),"")</f>
        <v>0</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Calystegia sepium</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1731</v>
      </c>
      <c r="Q47" s="486" t="n">
        <f aca="false">IF(ISTEXT(H47),"",(B47*$B$7/100)+(C47*$C$7/100))</f>
        <v>0.00105</v>
      </c>
      <c r="R47" s="487" t="n">
        <f aca="false">IF(OR(ISTEXT(H47),Q47=0),"",IF(Q47&lt;0.1,1,IF(Q47&lt;1,2,IF(Q47&lt;10,3,IF(Q47&lt;50,4,IF(Q47&gt;=50,5,""))))))</f>
        <v>1</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CASSEP</v>
      </c>
      <c r="Z47" s="280" t="n">
        <f aca="false">IF(ISERROR(MATCH(A47,'liste reference'!$A$8:$A$904,0)),IF(ISERROR(MATCH(A47,'liste reference'!$B$8:$B$904,0)),"",(MATCH(A47,'liste reference'!$B$8:$B$904,0))),(MATCH(A47,'liste reference'!$A$8:$A$904,0)))</f>
        <v>706</v>
      </c>
      <c r="AA47" s="491"/>
      <c r="AB47" s="492"/>
      <c r="AC47" s="492"/>
      <c r="BB47" s="280" t="n">
        <f aca="false">IF(A47="","",1)</f>
        <v>1</v>
      </c>
    </row>
    <row r="48" customFormat="false" ht="12.75" hidden="false" customHeight="false" outlineLevel="0" collapsed="false">
      <c r="A48" s="493" t="s">
        <v>2687</v>
      </c>
      <c r="B48" s="494" t="n">
        <v>0.005</v>
      </c>
      <c r="C48" s="495" t="n">
        <v>0.005</v>
      </c>
      <c r="D48" s="477" t="str">
        <f aca="false">IF(ISERROR(VLOOKUP($A48,'liste reference'!$A$7:$D$904,2,0)),IF(ISERROR(VLOOKUP($A48,'liste reference'!$B$7:$D$904,1,0)),"",VLOOKUP($A48,'liste reference'!$B$7:$D$904,1,0)),VLOOKUP($A48,'liste reference'!$A$7:$D$904,2,0))</f>
        <v/>
      </c>
      <c r="E48" s="496" t="n">
        <f aca="false">IF(D48="",0,VLOOKUP(D48,D$22:D47,1,0))</f>
        <v>0</v>
      </c>
      <c r="F48" s="501" t="n">
        <f aca="false">($B48*$B$7+$C48*$C$7)/100</f>
        <v>0.005</v>
      </c>
      <c r="G48" s="479" t="str">
        <f aca="false">IF(A48="","",IF(ISERROR(VLOOKUP($A48,'liste reference'!$A$7:$P$904,13,0)),IF(ISERROR(VLOOKUP($A48,'liste reference'!$B$7:$P$904,12,0)),"    -",VLOOKUP($A48,'liste reference'!$B$7:$P$904,12,0)),VLOOKUP($A48,'liste reference'!$A$7:$P$904,13,0)))</f>
        <v>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Dorycnium rectum</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No</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NEWCOD</v>
      </c>
      <c r="Z48" s="280" t="str">
        <f aca="false">IF(ISERROR(MATCH(A48,'liste reference'!$A$8:$A$904,0)),IF(ISERROR(MATCH(A48,'liste reference'!$B$8:$B$904,0)),"",(MATCH(A48,'liste reference'!$B$8:$B$904,0))),(MATCH(A48,'liste reference'!$A$8:$A$904,0)))</f>
        <v/>
      </c>
      <c r="AA48" s="491"/>
      <c r="AB48" s="492" t="s">
        <v>2688</v>
      </c>
      <c r="AC48" s="492"/>
      <c r="BB48" s="280" t="n">
        <f aca="false">IF(A48="","",1)</f>
        <v>1</v>
      </c>
    </row>
    <row r="49" customFormat="false" ht="12.75" hidden="false" customHeight="false" outlineLevel="0" collapsed="false">
      <c r="A49" s="493" t="s">
        <v>2687</v>
      </c>
      <c r="B49" s="494" t="n">
        <v>0.005</v>
      </c>
      <c r="C49" s="495"/>
      <c r="D49" s="477" t="str">
        <f aca="false">IF(ISERROR(VLOOKUP($A49,'liste reference'!$A$7:$D$904,2,0)),IF(ISERROR(VLOOKUP($A49,'liste reference'!$B$7:$D$904,1,0)),"",VLOOKUP($A49,'liste reference'!$B$7:$D$904,1,0)),VLOOKUP($A49,'liste reference'!$A$7:$D$904,2,0))</f>
        <v/>
      </c>
      <c r="E49" s="496" t="n">
        <f aca="false">IF(D49="",0,VLOOKUP(D49,D$22:D42,1,0))</f>
        <v>0</v>
      </c>
      <c r="F49" s="501" t="n">
        <f aca="false">($B49*$B$7+$C49*$C$7)/100</f>
        <v>0.00105</v>
      </c>
      <c r="G49" s="479" t="str">
        <f aca="false">IF(A49="","",IF(ISERROR(VLOOKUP($A49,'liste reference'!$A$7:$P$904,13,0)),IF(ISERROR(VLOOKUP($A49,'liste reference'!$B$7:$P$904,12,0)),"    -",VLOOKUP($A49,'liste reference'!$B$7:$P$904,12,0)),VLOOKUP($A49,'liste reference'!$A$7:$P$904,13,0)))</f>
        <v>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Equisetum telmateia</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No</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NEWCOD</v>
      </c>
      <c r="Z49" s="280" t="str">
        <f aca="false">IF(ISERROR(MATCH(A49,'liste reference'!$A$8:$A$904,0)),IF(ISERROR(MATCH(A49,'liste reference'!$B$8:$B$904,0)),"",(MATCH(A49,'liste reference'!$B$8:$B$904,0))),(MATCH(A49,'liste reference'!$A$8:$A$904,0)))</f>
        <v/>
      </c>
      <c r="AA49" s="491"/>
      <c r="AB49" s="492" t="s">
        <v>2689</v>
      </c>
      <c r="AC49" s="492"/>
      <c r="BB49" s="280" t="n">
        <f aca="false">IF(A49="","",1)</f>
        <v>1</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LAUQUET</v>
      </c>
      <c r="B84" s="529" t="str">
        <f aca="false">C3</f>
        <v>Couffoulens</v>
      </c>
      <c r="C84" s="530" t="n">
        <f aca="false">A4</f>
        <v>41492</v>
      </c>
      <c r="D84" s="531" t="n">
        <f aca="false">IF(ISERROR(SUM($T$23:$T$82)/SUM($U$23:$U$82)),"",SUM($T$23:$T$82)/SUM($U$23:$U$82))</f>
        <v>8.025</v>
      </c>
      <c r="E84" s="532" t="n">
        <f aca="false">N13</f>
        <v>27</v>
      </c>
      <c r="F84" s="529" t="n">
        <f aca="false">N14</f>
        <v>25</v>
      </c>
      <c r="G84" s="529" t="n">
        <f aca="false">N15</f>
        <v>12</v>
      </c>
      <c r="H84" s="529" t="n">
        <f aca="false">N16</f>
        <v>5</v>
      </c>
      <c r="I84" s="529" t="n">
        <f aca="false">N17</f>
        <v>1</v>
      </c>
      <c r="J84" s="533" t="n">
        <f aca="false">N8</f>
        <v>6.52</v>
      </c>
      <c r="K84" s="531" t="n">
        <f aca="false">N9</f>
        <v>4.75915958967547</v>
      </c>
      <c r="L84" s="532" t="n">
        <f aca="false">N10</f>
        <v>0</v>
      </c>
      <c r="M84" s="532" t="n">
        <f aca="false">N11</f>
        <v>13</v>
      </c>
      <c r="N84" s="531" t="n">
        <f aca="false">O8</f>
        <v>1</v>
      </c>
      <c r="O84" s="531" t="n">
        <f aca="false">O9</f>
        <v>0.8</v>
      </c>
      <c r="P84" s="532" t="n">
        <f aca="false">O10</f>
        <v>0</v>
      </c>
      <c r="Q84" s="532" t="n">
        <f aca="false">O11</f>
        <v>3</v>
      </c>
      <c r="R84" s="532" t="n">
        <f aca="false">F21</f>
        <v>73.3085</v>
      </c>
      <c r="S84" s="532" t="n">
        <f aca="false">K11</f>
        <v>0</v>
      </c>
      <c r="T84" s="532" t="n">
        <f aca="false">K12</f>
        <v>6</v>
      </c>
      <c r="U84" s="532" t="n">
        <f aca="false">K13</f>
        <v>3</v>
      </c>
      <c r="V84" s="534" t="n">
        <f aca="false">K14</f>
        <v>1</v>
      </c>
      <c r="W84" s="535" t="n">
        <f aca="false">K15</f>
        <v>15</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30</v>
      </c>
      <c r="T87" s="280"/>
      <c r="U87" s="280"/>
      <c r="V87" s="280"/>
    </row>
    <row r="88" customFormat="false" ht="12.75" hidden="true" customHeight="false" outlineLevel="0" collapsed="false">
      <c r="P88" s="280"/>
      <c r="Q88" s="280" t="s">
        <v>2693</v>
      </c>
      <c r="R88" s="280"/>
      <c r="S88" s="488" t="n">
        <f aca="false">VLOOKUP((S87),($S$23:$U$82),2,0)</f>
        <v>30</v>
      </c>
      <c r="T88" s="280"/>
      <c r="U88" s="280"/>
      <c r="V88" s="280"/>
    </row>
    <row r="89" customFormat="false" ht="12.75" hidden="true" customHeight="false" outlineLevel="0" collapsed="false">
      <c r="Q89" s="280" t="s">
        <v>2694</v>
      </c>
      <c r="R89" s="280"/>
      <c r="S89" s="488" t="n">
        <f aca="false">VLOOKUP((S87),($S$23:$U$82),3,0)</f>
        <v>3</v>
      </c>
      <c r="T89" s="280"/>
    </row>
    <row r="90" customFormat="false" ht="12.75" hidden="false" customHeight="false" outlineLevel="0" collapsed="false">
      <c r="Q90" s="280" t="s">
        <v>2695</v>
      </c>
      <c r="R90" s="280"/>
      <c r="S90" s="538" t="n">
        <f aca="false">IF(ISERROR(SUM($T$23:$T$82)/SUM($U$23:$U$82)),"",(SUM($T$23:$T$82)-S88)/(SUM($U$23:$U$82)-S89))</f>
        <v>7.86486486486487</v>
      </c>
      <c r="T90" s="280"/>
    </row>
    <row r="91" customFormat="false" ht="12.75" hidden="false" customHeight="false" outlineLevel="0" collapsed="false">
      <c r="Q91" s="487" t="s">
        <v>2696</v>
      </c>
      <c r="R91" s="487"/>
      <c r="S91" s="487" t="str">
        <f aca="false">INDEX('liste reference'!$A$8:$A$904,$T$91)</f>
        <v>SPISPX</v>
      </c>
      <c r="T91" s="280" t="n">
        <f aca="false">IF(ISERROR(MATCH($S$93,'liste reference'!$A$8:$A$904,0)),MATCH($S$93,'liste reference'!$B$8:$B$904,0),(MATCH($S$93,'liste reference'!$A$8:$A$904,0)))</f>
        <v>69</v>
      </c>
      <c r="U91" s="527"/>
    </row>
    <row r="92" customFormat="false" ht="12.75" hidden="false" customHeight="false" outlineLevel="0" collapsed="false">
      <c r="Q92" s="280" t="s">
        <v>2697</v>
      </c>
      <c r="R92" s="280"/>
      <c r="S92" s="280" t="n">
        <f aca="false">MATCH(S87,$S$23:$S$82,0)</f>
        <v>5</v>
      </c>
      <c r="T92" s="280"/>
    </row>
    <row r="93" customFormat="false" ht="12.75" hidden="false" customHeight="false" outlineLevel="0" collapsed="false">
      <c r="Q93" s="487" t="s">
        <v>2698</v>
      </c>
      <c r="R93" s="280"/>
      <c r="S93" s="487" t="str">
        <f aca="false">INDEX($A$23:$A$82,$S$92)</f>
        <v>SPISPX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2699</v>
      </c>
      <c r="B2" s="284"/>
      <c r="C2" s="285" t="s">
        <v>2700</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2701</v>
      </c>
      <c r="B3" s="284"/>
      <c r="C3" s="283" t="s">
        <v>2702</v>
      </c>
      <c r="D3" s="294"/>
      <c r="E3" s="294"/>
      <c r="F3" s="295"/>
      <c r="G3" s="295"/>
      <c r="H3" s="296"/>
      <c r="I3" s="297"/>
      <c r="J3" s="296"/>
      <c r="K3" s="298" t="s">
        <v>2703</v>
      </c>
      <c r="L3" s="299"/>
      <c r="M3" s="300" t="s">
        <v>2704</v>
      </c>
      <c r="N3" s="301"/>
      <c r="O3" s="301"/>
      <c r="P3" s="302"/>
      <c r="Q3" s="280"/>
      <c r="R3" s="280"/>
      <c r="S3" s="280"/>
      <c r="T3" s="280"/>
      <c r="U3" s="280"/>
      <c r="V3" s="280"/>
      <c r="W3" s="292"/>
      <c r="X3" s="293"/>
    </row>
    <row r="4" customFormat="false" ht="13.5" hidden="false" customHeight="false" outlineLevel="0" collapsed="false">
      <c r="A4" s="303" t="s">
        <v>2705</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0</v>
      </c>
      <c r="T87" s="280"/>
      <c r="U87" s="280"/>
      <c r="V87" s="280"/>
    </row>
    <row r="88" customFormat="false" ht="12.75" hidden="true" customHeight="false" outlineLevel="0" collapsed="false">
      <c r="P88" s="280"/>
      <c r="Q88" s="280" t="s">
        <v>2693</v>
      </c>
      <c r="R88" s="280"/>
      <c r="S88" s="488" t="n">
        <f aca="false">VLOOKUP((S87),($S$23:$U$82),2,0)</f>
        <v>0</v>
      </c>
      <c r="T88" s="280"/>
      <c r="U88" s="280"/>
      <c r="V88" s="280"/>
    </row>
    <row r="89" customFormat="false" ht="12.75" hidden="true" customHeight="false" outlineLevel="0" collapsed="false">
      <c r="Q89" s="280" t="s">
        <v>2694</v>
      </c>
      <c r="R89" s="280"/>
      <c r="S89" s="488" t="n">
        <f aca="false">VLOOKUP((S87),($S$23:$U$82),3,0)</f>
        <v>0</v>
      </c>
      <c r="T89" s="280"/>
    </row>
    <row r="90" customFormat="false" ht="12.75" hidden="false" customHeight="false" outlineLevel="0" collapsed="false">
      <c r="Q90" s="280" t="s">
        <v>2695</v>
      </c>
      <c r="R90" s="280"/>
      <c r="S90" s="538" t="str">
        <f aca="false">IF(ISERROR(SUM($T$23:$T$82)/SUM($U$23:$U$82)),"",(SUM($T$23:$T$82)-S88)/(SUM($U$23:$U$82)-S89))</f>
        <v/>
      </c>
      <c r="T90" s="280"/>
    </row>
    <row r="91" customFormat="false" ht="12.75" hidden="false" customHeight="false" outlineLevel="0" collapsed="false">
      <c r="Q91" s="487" t="s">
        <v>2696</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2697</v>
      </c>
      <c r="R92" s="280"/>
      <c r="S92" s="280" t="n">
        <f aca="false">MATCH(S87,$S$23:$S$82,0)</f>
        <v>1</v>
      </c>
      <c r="T92" s="280"/>
    </row>
    <row r="93" customFormat="false" ht="12.75" hidden="false" customHeight="false" outlineLevel="0" collapsed="false">
      <c r="Q93" s="487" t="s">
        <v>2698</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2706</v>
      </c>
      <c r="B1" s="549"/>
      <c r="C1" s="549"/>
      <c r="D1" s="549"/>
    </row>
    <row r="2" customFormat="false" ht="15" hidden="false" customHeight="false" outlineLevel="0" collapsed="false">
      <c r="A2" s="550" t="s">
        <v>2707</v>
      </c>
      <c r="B2" s="551"/>
      <c r="C2" s="552"/>
      <c r="D2" s="552"/>
    </row>
    <row r="3" customFormat="false" ht="15.75" hidden="false" customHeight="false" outlineLevel="0" collapsed="false">
      <c r="A3" s="550" t="s">
        <v>2708</v>
      </c>
      <c r="B3" s="551"/>
      <c r="C3" s="552"/>
      <c r="D3" s="553" t="s">
        <v>2709</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2710</v>
      </c>
      <c r="G15" s="571"/>
      <c r="H15" s="572" t="s">
        <v>2711</v>
      </c>
      <c r="I15" s="571"/>
    </row>
    <row r="16" customFormat="false" ht="15" hidden="false" customHeight="false" outlineLevel="0" collapsed="false">
      <c r="A16" s="567" t="s">
        <v>1708</v>
      </c>
      <c r="B16" s="566" t="s">
        <v>1709</v>
      </c>
      <c r="C16" s="568"/>
      <c r="D16" s="569"/>
      <c r="F16" s="573" t="s">
        <v>2712</v>
      </c>
      <c r="G16" s="574"/>
      <c r="H16" s="573" t="s">
        <v>2712</v>
      </c>
      <c r="I16" s="575"/>
    </row>
    <row r="17" customFormat="false" ht="15" hidden="false" customHeight="false" outlineLevel="0" collapsed="false">
      <c r="A17" s="565" t="s">
        <v>2127</v>
      </c>
      <c r="B17" s="566" t="s">
        <v>2128</v>
      </c>
      <c r="C17" s="568"/>
      <c r="D17" s="569"/>
      <c r="F17" s="576" t="s">
        <v>2713</v>
      </c>
      <c r="G17" s="577"/>
      <c r="H17" s="576" t="s">
        <v>2713</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2714</v>
      </c>
      <c r="G19" s="577"/>
      <c r="H19" s="576" t="s">
        <v>2714</v>
      </c>
      <c r="I19" s="578"/>
    </row>
    <row r="20" customFormat="false" ht="15" hidden="false" customHeight="false" outlineLevel="0" collapsed="false">
      <c r="A20" s="567" t="s">
        <v>1714</v>
      </c>
      <c r="B20" s="566" t="s">
        <v>1715</v>
      </c>
      <c r="C20" s="568"/>
      <c r="D20" s="569"/>
      <c r="F20" s="576" t="s">
        <v>2715</v>
      </c>
      <c r="G20" s="577"/>
      <c r="H20" s="576" t="s">
        <v>2715</v>
      </c>
      <c r="I20" s="578"/>
    </row>
    <row r="21" customFormat="false" ht="15" hidden="false" customHeight="false" outlineLevel="0" collapsed="false">
      <c r="A21" s="567" t="s">
        <v>1720</v>
      </c>
      <c r="B21" s="566" t="s">
        <v>1721</v>
      </c>
      <c r="C21" s="568"/>
      <c r="D21" s="569"/>
      <c r="F21" s="576" t="s">
        <v>2716</v>
      </c>
      <c r="G21" s="577"/>
      <c r="H21" s="576" t="s">
        <v>2716</v>
      </c>
      <c r="I21" s="578"/>
    </row>
    <row r="22" customFormat="false" ht="15" hidden="false" customHeight="false" outlineLevel="0" collapsed="false">
      <c r="A22" s="565" t="s">
        <v>1726</v>
      </c>
      <c r="B22" s="566" t="s">
        <v>1727</v>
      </c>
      <c r="C22" s="568"/>
      <c r="D22" s="569"/>
      <c r="F22" s="576" t="s">
        <v>2717</v>
      </c>
      <c r="G22" s="577"/>
      <c r="H22" s="576" t="s">
        <v>2717</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2718</v>
      </c>
      <c r="G24" s="577"/>
      <c r="H24" s="576" t="s">
        <v>2718</v>
      </c>
      <c r="I24" s="578"/>
    </row>
    <row r="25" customFormat="false" ht="15" hidden="false" customHeight="false" outlineLevel="0" collapsed="false">
      <c r="A25" s="565" t="s">
        <v>2133</v>
      </c>
      <c r="B25" s="566" t="s">
        <v>2134</v>
      </c>
      <c r="C25" s="568"/>
      <c r="D25" s="569"/>
      <c r="F25" s="579" t="s">
        <v>2719</v>
      </c>
      <c r="G25" s="580"/>
      <c r="H25" s="579" t="s">
        <v>2719</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2720</v>
      </c>
    </row>
    <row r="35" customFormat="false" ht="15" hidden="false" customHeight="false" outlineLevel="0" collapsed="false">
      <c r="A35" s="565" t="s">
        <v>52</v>
      </c>
      <c r="B35" s="566" t="s">
        <v>53</v>
      </c>
      <c r="C35" s="568"/>
      <c r="D35" s="569"/>
      <c r="F35" s="583" t="s">
        <v>2721</v>
      </c>
    </row>
    <row r="36" customFormat="false" ht="15" hidden="false" customHeight="false" outlineLevel="0" collapsed="false">
      <c r="A36" s="567" t="s">
        <v>320</v>
      </c>
      <c r="B36" s="566" t="s">
        <v>321</v>
      </c>
      <c r="C36" s="568"/>
      <c r="D36" s="569"/>
      <c r="F36" s="585" t="s">
        <v>2639</v>
      </c>
    </row>
    <row r="37" customFormat="false" ht="15" hidden="false" customHeight="false" outlineLevel="0" collapsed="false">
      <c r="A37" s="565" t="s">
        <v>2142</v>
      </c>
      <c r="B37" s="566" t="s">
        <v>2722</v>
      </c>
      <c r="C37" s="568"/>
      <c r="D37" s="569"/>
      <c r="F37" s="585" t="s">
        <v>2638</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2014-04-11T14:01:24Z</dcterms:modified>
  <cp:revision>0</cp:revision>
  <dc:subject/>
  <dc:title>Feuille d'aide au calcul de l'IBMR</dc:title>
</cp:coreProperties>
</file>