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ampy à Alzonne" sheetId="7" state="visible" r:id="rId9"/>
    <sheet name="liste codes réf" sheetId="8" state="hidden" r:id="rId10"/>
  </sheets>
  <definedNames>
    <definedName function="false" hidden="false" localSheetId="6" name="_xlnm.Print_Area" vbProcedure="false">'Lampy à Alzonne'!$A$1:$Q$82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'Lampy à Alzonne'!$A$1:$C$1415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<sst xmlns="http://schemas.openxmlformats.org/spreadsheetml/2006/main" count="9980" uniqueCount="3494">
  <si>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</si>
  <si>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</si>
  <si>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</si>
  <si>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</si>
  <si>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</si>
  <si>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</si>
  <si>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</si>
  <si>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</si>
  <si>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</si>
  <si>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</si>
  <si>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</si>
  <si>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</si>
  <si>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</si>
  <si>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</si>
  <si>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</si>
  <si>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</si>
  <si>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</si>
  <si>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</si>
  <si>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</si>
  <si>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</si>
  <si>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</si>
  <si>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</si>
  <si>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</si>
  <si>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</si>
  <si>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</si>
  <si>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</si>
  <si>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</si>
  <si>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</si>
  <si>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</si>
  <si>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</si>
  <si>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</si>
  <si>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</si>
  <si>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</si>
  <si>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</si>
  <si>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</si>
  <si>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</si>
  <si>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</si>
  <si>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</si>
  <si>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</si>
  <si>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</si>
  <si>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</si>
  <si>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</si>
  <si>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</si>
  <si>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</si>
  <si>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</si>
  <si>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</si>
  <si>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</si>
  <si>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</si>
  <si>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</si>
  <si>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</si>
  <si>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</si>
  <si>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</si>
  <si>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</si>
  <si>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</si>
  <si>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</si>
  <si>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</si>
  <si>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</si>
  <si>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</si>
  <si>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</si>
  <si>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</si>
  <si>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</si>
  <si>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</si>
  <si>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</si>
  <si>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</si>
  <si>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</si>
  <si>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</si>
  <si>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</si>
  <si>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</si>
  <si>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</si>
  <si>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</si>
  <si>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</si>
  <si>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</si>
  <si>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</si>
  <si>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</si>
  <si>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</si>
  <si>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</si>
  <si>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</si>
  <si>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</si>
  <si>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</si>
  <si>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</si>
  <si>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</si>
  <si>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</si>
  <si>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</si>
  <si>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</si>
  <si>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</si>
  <si>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</si>
  <si>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</si>
  <si>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</si>
  <si>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</si>
  <si>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</si>
  <si>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</si>
  <si>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</si>
  <si>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</si>
  <si>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</si>
  <si>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</si>
  <si>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</si>
  <si>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</si>
  <si>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</si>
  <si>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</si>
  <si>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</si>
  <si>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</si>
  <si>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</si>
  <si>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</si>
  <si>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</si>
  <si>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</si>
  <si>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</si>
  <si>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</si>
  <si>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</si>
  <si>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</si>
  <si>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</si>
  <si>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</si>
  <si>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</si>
  <si>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</si>
  <si>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</si>
  <si>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</si>
  <si>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</si>
  <si>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</si>
  <si>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</si>
  <si>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</si>
  <si>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</si>
  <si>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</si>
  <si>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</si>
  <si>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</si>
  <si>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</si>
  <si>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</si>
  <si>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</si>
  <si>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</si>
  <si>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</si>
  <si>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</si>
  <si>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</si>
  <si>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</si>
  <si>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</si>
  <si>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</si>
  <si>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</si>
  <si>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</si>
  <si>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</si>
  <si>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</si>
  <si>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</si>
  <si>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</si>
  <si>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</si>
  <si>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</si>
  <si>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</si>
  <si>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</si>
  <si>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</si>
  <si>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</si>
  <si>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</si>
  <si>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</si>
  <si>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</si>
  <si>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</si>
  <si>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</si>
  <si>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</si>
  <si>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</si>
  <si>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</si>
  <si>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</si>
  <si>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</si>
  <si>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</si>
  <si>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</si>
  <si>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</si>
  <si>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</si>
  <si>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</si>
  <si>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</si>
  <si>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</si>
  <si>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</si>
  <si>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</si>
  <si>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</si>
  <si>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</si>
  <si>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</si>
  <si>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</si>
  <si>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</si>
  <si>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</si>
  <si>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</si>
  <si>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</si>
  <si>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</si>
  <si>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</si>
  <si>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</si>
  <si>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</si>
  <si>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</si>
  <si>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</si>
  <si>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</si>
  <si>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</si>
  <si>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</si>
  <si>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</si>
  <si>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</si>
  <si>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</si>
  <si>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</si>
  <si>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</si>
  <si>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</si>
  <si>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</si>
  <si>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</si>
  <si>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</si>
  <si>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</si>
  <si>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</si>
  <si>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</si>
  <si>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</si>
  <si>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</si>
  <si>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</si>
  <si>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</si>
  <si>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</si>
  <si>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</si>
  <si>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</si>
  <si>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</si>
  <si>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</si>
  <si>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</si>
  <si>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</si>
  <si>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</si>
  <si>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</si>
  <si>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</si>
  <si>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</si>
  <si>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</si>
  <si>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</si>
  <si>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</si>
  <si>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</si>
  <si>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</si>
  <si>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</si>
  <si>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</si>
  <si>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</si>
  <si>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</si>
  <si>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</si>
  <si>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</si>
  <si>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</si>
  <si>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</si>
  <si>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</si>
  <si>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</si>
  <si>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</si>
  <si>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</si>
  <si>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</si>
  <si>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</si>
  <si>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</si>
  <si>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</si>
  <si>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</si>
  <si>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</si>
  <si>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</si>
  <si>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</si>
  <si>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</si>
  <si>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</si>
  <si>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</si>
  <si>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</si>
  <si>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</si>
  <si>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</si>
  <si>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</si>
  <si>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</si>
  <si>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</si>
  <si>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</si>
  <si>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</si>
  <si>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</si>
  <si>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</si>
  <si>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</si>
  <si>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</si>
  <si>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</si>
  <si>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</si>
  <si>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</si>
  <si>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</si>
  <si>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</si>
  <si>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</si>
  <si>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</si>
  <si>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</si>
  <si>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</si>
  <si>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</si>
  <si>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</si>
  <si>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</si>
  <si>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</si>
  <si>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</si>
  <si>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</si>
  <si>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</si>
  <si>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</si>
  <si>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</si>
  <si>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</si>
  <si>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</si>
  <si>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</si>
  <si>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</si>
  <si>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</si>
  <si>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</si>
  <si>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</si>
  <si>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</si>
  <si>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</si>
  <si>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</si>
  <si>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</si>
  <si>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</si>
  <si>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</si>
  <si>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</si>
  <si>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</si>
  <si>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</si>
  <si>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</si>
  <si>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</si>
  <si>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</si>
  <si>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</si>
  <si>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</si>
  <si>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</si>
  <si>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</si>
  <si>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</si>
  <si>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</si>
  <si>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</si>
  <si>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</si>
  <si>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</si>
  <si>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</si>
  <si>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</si>
  <si>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</si>
  <si>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</si>
  <si>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</si>
  <si>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</si>
  <si>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</si>
  <si>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</si>
  <si>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</si>
  <si>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</si>
  <si>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</si>
  <si>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</si>
  <si>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</si>
  <si>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</si>
  <si>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</si>
  <si>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</si>
  <si>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</si>
  <si>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</si>
  <si>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</si>
  <si>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</si>
  <si>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</si>
  <si>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</si>
  <si>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</si>
  <si>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</si>
  <si>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</si>
  <si>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</si>
  <si>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</si>
  <si>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</si>
  <si>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</si>
  <si>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</si>
  <si>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</si>
  <si>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</si>
  <si>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</si>
  <si>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</si>
  <si>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</si>
  <si>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</si>
  <si>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</si>
  <si>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</si>
  <si>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</si>
  <si>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</si>
  <si>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</si>
  <si>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</si>
  <si>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</si>
  <si>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</si>
  <si>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</si>
  <si>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</si>
  <si>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</si>
  <si>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</si>
  <si>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</si>
  <si>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</si>
  <si>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</si>
  <si>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</si>
  <si>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</si>
  <si>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</si>
  <si>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</si>
  <si>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</si>
  <si>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</si>
  <si>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</si>
  <si>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</si>
  <si>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</si>
  <si>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</si>
  <si>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</si>
  <si>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</si>
  <si>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</si>
  <si>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</si>
  <si>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</si>
  <si>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</si>
  <si>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</si>
  <si>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</si>
  <si>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</si>
  <si>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</si>
  <si>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</si>
  <si>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</si>
  <si>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</si>
  <si>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</si>
  <si>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</si>
  <si>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</si>
  <si>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</si>
  <si>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</si>
  <si>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</si>
  <si>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</si>
  <si>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</si>
  <si>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</si>
  <si>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</si>
  <si>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</si>
  <si>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</si>
  <si>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</si>
  <si>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</si>
  <si>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</si>
  <si>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</si>
  <si>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</si>
  <si>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</si>
  <si>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</si>
  <si>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</si>
  <si>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</si>
  <si>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</si>
  <si>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</si>
  <si>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</si>
  <si>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</si>
  <si>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</si>
  <si>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</si>
  <si>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</si>
  <si>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</si>
  <si>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</si>
  <si>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</si>
  <si>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</si>
  <si>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</si>
  <si>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</si>
  <si>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</si>
  <si>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</si>
  <si>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</si>
  <si>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</si>
  <si>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</si>
  <si>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</si>
  <si>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</si>
  <si>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</si>
  <si>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</si>
  <si>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</si>
  <si>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</si>
  <si>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</si>
  <si>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</si>
  <si>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</si>
  <si>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</si>
  <si>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</si>
  <si>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</si>
  <si>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</si>
  <si>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</si>
  <si>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</si>
  <si>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</si>
  <si>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</si>
  <si>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</si>
  <si>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</si>
  <si>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</si>
  <si>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</si>
  <si>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</si>
  <si>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</si>
  <si>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</si>
  <si>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</si>
  <si>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</si>
  <si>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</si>
  <si>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</si>
  <si>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</si>
  <si>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</si>
  <si>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</si>
  <si>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</si>
  <si>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</si>
  <si>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</si>
  <si>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</si>
  <si>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</si>
  <si>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</si>
  <si>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</si>
  <si>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</si>
  <si>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</si>
  <si>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</si>
  <si>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</si>
  <si>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</si>
  <si>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</si>
  <si>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</si>
  <si>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</si>
  <si>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</si>
  <si>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</si>
  <si>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</si>
  <si>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</si>
  <si>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</si>
  <si>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</si>
  <si>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</si>
  <si>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</si>
  <si>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</si>
  <si>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</si>
  <si>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</si>
  <si>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</si>
  <si>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</si>
  <si>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</si>
  <si>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</si>
  <si>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</si>
  <si>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</si>
  <si>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</si>
  <si>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</si>
  <si>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</si>
  <si>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</si>
  <si>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</si>
  <si>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</si>
  <si>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</si>
  <si>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</si>
  <si>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</si>
  <si>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</si>
  <si>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</si>
  <si>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</si>
  <si>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</si>
  <si>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</si>
  <si>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</si>
  <si>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</si>
  <si>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</si>
  <si>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</si>
  <si>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</si>
  <si>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</si>
  <si>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</si>
  <si>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</si>
  <si>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</si>
  <si>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</si>
  <si>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</si>
  <si>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</si>
  <si>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</si>
  <si>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</si>
  <si>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</si>
  <si>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</si>
  <si>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</si>
  <si>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</si>
  <si>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</si>
  <si>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</si>
  <si>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</si>
  <si>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</si>
  <si>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</si>
  <si>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</si>
  <si>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</si>
  <si>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</si>
  <si>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</si>
  <si>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</si>
  <si>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</si>
  <si>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</si>
  <si>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</si>
  <si>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</si>
  <si>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</si>
  <si>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</si>
  <si>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</si>
  <si>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</si>
  <si>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</si>
  <si>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</si>
  <si>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</si>
  <si>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</si>
  <si>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</si>
  <si>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</si>
  <si>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</si>
  <si>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</si>
  <si>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</si>
  <si>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</si>
  <si>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</si>
  <si>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</si>
  <si>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</si>
  <si>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</si>
  <si>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</si>
  <si>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</si>
  <si>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</si>
  <si>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</si>
  <si>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</si>
  <si>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</si>
  <si>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</si>
  <si>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</si>
  <si>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</si>
  <si>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</si>
  <si>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</si>
  <si>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</si>
  <si>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</si>
  <si>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</si>
  <si>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</si>
  <si>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</si>
  <si>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</si>
  <si>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</si>
  <si>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</si>
  <si>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</si>
  <si>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</si>
  <si>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</si>
  <si>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</si>
  <si>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</si>
  <si>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</si>
  <si>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</si>
  <si>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</si>
  <si>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</si>
  <si>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</si>
  <si>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</si>
  <si>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</si>
  <si>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</si>
  <si>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</si>
  <si>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</si>
  <si>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</si>
  <si>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</si>
  <si>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</si>
  <si>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</si>
  <si>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</si>
  <si>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</si>
  <si>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</si>
  <si>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</si>
  <si>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</si>
  <si>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</si>
  <si>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</si>
  <si>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</si>
  <si>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</si>
  <si>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</si>
  <si>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</si>
  <si>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</si>
  <si>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</si>
  <si>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</si>
  <si>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</si>
  <si>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</si>
  <si>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</si>
  <si>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</si>
  <si>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</si>
  <si>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</si>
  <si>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</si>
  <si>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</si>
  <si>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</si>
  <si>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</si>
  <si>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</si>
  <si>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</si>
  <si>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</si>
  <si>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</si>
  <si>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</si>
  <si>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</si>
  <si>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</si>
  <si>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</si>
  <si>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</si>
  <si>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</si>
  <si>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</si>
  <si>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</si>
  <si>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</si>
  <si>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</si>
  <si>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</si>
  <si>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</si>
  <si>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</si>
  <si>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</si>
  <si>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</si>
  <si>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</si>
  <si>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</si>
  <si>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</si>
  <si>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</si>
  <si>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</si>
  <si>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</si>
  <si>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</si>
  <si>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</si>
  <si>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</si>
  <si>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</si>
  <si>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</si>
  <si>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</si>
  <si>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</si>
  <si>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</si>
  <si>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</si>
  <si>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</si>
  <si>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</si>
  <si>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</si>
  <si>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</si>
  <si>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</si>
  <si>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</si>
  <si>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</si>
  <si>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</si>
  <si>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</si>
  <si>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</si>
  <si>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</si>
  <si>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</si>
  <si>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</si>
  <si>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</si>
  <si>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</si>
  <si>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</si>
  <si>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</si>
  <si>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</si>
  <si>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</si>
  <si>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</si>
  <si>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</si>
  <si>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</si>
  <si>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</si>
  <si>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</si>
  <si>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</si>
  <si>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</si>
  <si>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</si>
  <si>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</si>
  <si>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</si>
  <si>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</si>
  <si>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</si>
  <si>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</si>
  <si>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</si>
  <si>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</si>
  <si>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</si>
  <si>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</si>
  <si>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</si>
  <si>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</si>
  <si>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</si>
  <si>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</si>
  <si>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</si>
  <si>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</si>
  <si>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</si>
  <si>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</si>
  <si>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</si>
  <si>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</si>
  <si>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</si>
  <si>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</si>
  <si>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</si>
  <si>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</si>
  <si>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</si>
  <si>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</si>
  <si>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</si>
  <si>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</si>
  <si>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</si>
  <si>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</si>
  <si>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</si>
  <si>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</si>
  <si>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</si>
  <si>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</si>
  <si>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</si>
  <si>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</si>
  <si>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</si>
  <si>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</si>
  <si>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</si>
  <si>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</si>
  <si>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</si>
  <si>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</si>
  <si>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</si>
  <si>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</si>
  <si>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</si>
  <si>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</si>
  <si>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</si>
  <si>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</si>
  <si>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</si>
  <si>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</si>
  <si>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</si>
  <si>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</si>
  <si>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</si>
  <si>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</si>
  <si>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</si>
  <si>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</si>
  <si>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</si>
  <si>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</si>
  <si>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</si>
  <si>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</si>
  <si>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</si>
  <si>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</si>
  <si>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</si>
  <si>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</si>
  <si>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</si>
  <si>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</si>
  <si>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</si>
  <si>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</si>
  <si>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</si>
  <si>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</si>
  <si>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</si>
  <si>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</si>
  <si>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</si>
  <si>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</si>
  <si>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</si>
  <si>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</si>
  <si>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</si>
  <si>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</si>
  <si>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</si>
  <si>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</si>
  <si>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</si>
  <si>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</si>
  <si>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</si>
  <si>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</si>
  <si>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</si>
  <si>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</si>
  <si>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</si>
  <si>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</si>
  <si>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</si>
  <si>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</si>
  <si>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</si>
  <si>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</si>
  <si>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</si>
  <si>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</si>
  <si>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</si>
  <si>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</si>
  <si>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</si>
  <si>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</si>
  <si>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</si>
  <si>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</si>
  <si>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</si>
  <si>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</si>
  <si>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</si>
  <si>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</si>
  <si>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</si>
  <si>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</si>
  <si>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</si>
  <si>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</si>
  <si>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</si>
  <si>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</si>
  <si>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</si>
  <si>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</si>
  <si>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</si>
  <si>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</si>
  <si>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</si>
  <si>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</si>
  <si>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</si>
  <si>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</si>
  <si>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</si>
  <si>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</si>
  <si>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</si>
  <si>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</si>
  <si>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</si>
  <si>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</si>
  <si>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</si>
  <si>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</si>
  <si>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</si>
  <si>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</si>
  <si>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</si>
  <si>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</si>
  <si>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</si>
  <si>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</si>
  <si>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</si>
  <si>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</si>
  <si>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</si>
  <si>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</si>
  <si>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</si>
  <si>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</si>
  <si>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</si>
  <si>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</si>
  <si>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</si>
  <si>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</si>
  <si>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</si>
  <si>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</si>
  <si>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</si>
  <si>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</si>
  <si>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</si>
  <si>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</si>
  <si>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</si>
  <si>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</si>
  <si>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</si>
  <si>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</si>
  <si>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</si>
  <si>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</si>
  <si>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</si>
  <si>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</si>
  <si>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</si>
  <si>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</si>
  <si>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</si>
  <si>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</si>
  <si>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</si>
  <si>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</si>
  <si>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</si>
  <si>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</si>
  <si>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</si>
  <si>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</si>
  <si>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</si>
  <si>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</si>
  <si>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</si>
  <si>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</si>
  <si>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</si>
  <si>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</si>
  <si>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</si>
  <si>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</si>
  <si>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</si>
  <si>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</si>
  <si>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</si>
  <si>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</si>
  <si>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</si>
  <si>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</si>
  <si>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</si>
  <si>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</si>
  <si>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</si>
  <si>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</si>
  <si>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</si>
  <si>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</si>
  <si>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</si>
  <si>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</si>
  <si>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</si>
  <si>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</si>
  <si>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</si>
  <si>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</si>
  <si>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</si>
  <si>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</si>
  <si>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</si>
  <si>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</si>
  <si>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</si>
  <si>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</si>
  <si>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</si>
  <si>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</si>
  <si>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</si>
  <si>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</si>
  <si>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</si>
  <si>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</si>
  <si>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</si>
  <si>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</si>
  <si>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</si>
  <si>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</si>
  <si>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</si>
  <si>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</si>
  <si>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</si>
  <si>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</si>
  <si>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</si>
  <si>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</si>
  <si>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</si>
  <si>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</si>
  <si>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</si>
  <si>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</si>
  <si>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</si>
  <si>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</si>
  <si>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</si>
  <si>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</si>
  <si>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</si>
  <si>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</si>
  <si>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</si>
  <si>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</si>
  <si>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</si>
  <si>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</si>
  <si>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</si>
  <si>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</si>
  <si>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</si>
  <si>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</si>
  <si>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</si>
  <si>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</si>
  <si>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</si>
  <si>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</si>
  <si>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</si>
  <si>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</si>
  <si>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</si>
  <si>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</si>
  <si>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</si>
  <si>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</si>
  <si>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</si>
  <si>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</si>
  <si>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</si>
  <si>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</si>
  <si>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</si>
  <si>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</si>
  <si>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</si>
  <si>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</si>
  <si>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</si>
  <si>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</si>
  <si>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</si>
  <si>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</si>
  <si>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</si>
  <si>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</si>
  <si>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</si>
  <si>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</si>
  <si>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</si>
  <si>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</si>
  <si>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</si>
  <si>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</si>
  <si>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</si>
  <si>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</si>
  <si>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</si>
  <si>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</si>
  <si>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</si>
  <si>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</si>
  <si>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</si>
  <si>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</si>
  <si>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</si>
  <si>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</si>
  <si>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</si>
  <si>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</si>
  <si>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</si>
  <si>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</si>
  <si>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</si>
  <si>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</si>
  <si>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</si>
  <si>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</si>
  <si>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</si>
  <si>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</si>
  <si>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</si>
  <si>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</si>
  <si>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</si>
  <si>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</si>
  <si>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</si>
  <si>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</si>
  <si>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</si>
  <si>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</si>
  <si>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</si>
  <si>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</si>
  <si>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</si>
  <si>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</si>
  <si>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</si>
  <si>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</si>
  <si>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</si>
  <si>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</si>
  <si>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</si>
  <si>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</si>
  <si>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</si>
  <si>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</si>
  <si>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</si>
  <si>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</si>
  <si>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</si>
  <si>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</si>
  <si>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</si>
  <si>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</si>
  <si>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</si>
  <si>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</si>
  <si>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</si>
  <si>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</si>
  <si>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</si>
  <si>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</si>
  <si>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</si>
  <si>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</si>
  <si>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</si>
  <si>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</si>
  <si>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</si>
  <si>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</si>
  <si>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</si>
  <si>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</si>
  <si>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</si>
  <si>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</si>
  <si>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</si>
  <si>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</si>
  <si>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</si>
  <si>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</si>
  <si>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</si>
  <si>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</si>
  <si>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</si>
  <si>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</si>
  <si>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</si>
  <si>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</si>
  <si>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</si>
  <si>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</si>
  <si>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</si>
  <si>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</si>
  <si>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</si>
  <si>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</si>
  <si>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</si>
  <si>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</si>
  <si>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</si>
  <si>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</si>
  <si>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</si>
  <si>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</si>
  <si>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</si>
  <si>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</si>
  <si>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</si>
  <si>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</si>
  <si>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</si>
  <si>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</si>
  <si>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</si>
  <si>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</si>
  <si>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</si>
  <si>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</si>
  <si>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</si>
  <si>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</si>
  <si>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</si>
  <si>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</si>
  <si>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</si>
  <si>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</si>
  <si>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</si>
  <si>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</si>
  <si>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</si>
  <si>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</si>
  <si>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</si>
  <si>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</si>
  <si>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</si>
  <si>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</si>
  <si>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</si>
  <si>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</si>
  <si>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</si>
  <si>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</si>
  <si>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</si>
  <si>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</si>
  <si>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</si>
  <si>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</si>
  <si>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</si>
  <si>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</si>
  <si>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</si>
  <si>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</si>
  <si>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</si>
  <si>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</si>
  <si>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</si>
  <si>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</si>
  <si>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</si>
  <si>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</si>
  <si>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</si>
  <si>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</si>
  <si>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</si>
  <si>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</si>
  <si>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</si>
  <si>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</si>
  <si>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</si>
  <si>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</si>
  <si>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</si>
  <si>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</si>
  <si>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</si>
  <si>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</si>
  <si>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</si>
  <si>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</si>
  <si>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</si>
  <si>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</si>
  <si>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</si>
  <si>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</si>
  <si>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</si>
  <si>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</si>
  <si>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</si>
  <si>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</si>
  <si>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</si>
  <si>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</si>
  <si>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</si>
  <si>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</si>
  <si>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</si>
  <si>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</si>
  <si>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</si>
  <si>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</si>
  <si>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</si>
  <si>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</si>
  <si>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</si>
  <si>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</si>
  <si>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</si>
  <si>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</si>
  <si>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</si>
  <si>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</si>
  <si>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</si>
  <si>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</si>
  <si>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</si>
  <si>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</si>
  <si>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</si>
  <si>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</si>
  <si>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</si>
  <si>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</si>
  <si>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</si>
  <si>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</si>
  <si>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</si>
  <si>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</si>
  <si>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</si>
  <si>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</si>
  <si>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</si>
  <si>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</si>
  <si>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</si>
  <si>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</si>
  <si>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</si>
  <si>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</si>
  <si>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</si>
  <si>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</si>
  <si>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</si>
  <si>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</si>
  <si>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</si>
  <si>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</si>
  <si>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</si>
  <si>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</si>
  <si>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</si>
  <si>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</si>
  <si>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</si>
  <si>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</si>
  <si>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</si>
  <si>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</si>
  <si>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</si>
  <si>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</si>
  <si>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</si>
  <si>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</si>
  <si>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</si>
  <si>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</si>
  <si>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</si>
  <si>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</si>
  <si>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</si>
  <si>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</si>
  <si>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</si>
  <si>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</si>
  <si>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</si>
  <si>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</si>
  <si>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</si>
  <si>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</si>
  <si>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</si>
  <si>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</si>
  <si>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</si>
  <si>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</si>
  <si>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</si>
  <si>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</si>
  <si>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</si>
  <si>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</si>
  <si>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</si>
  <si>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</si>
  <si>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</si>
  <si>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</si>
  <si>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</si>
  <si>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</si>
  <si>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</si>
  <si>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</si>
  <si>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</si>
  <si>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</si>
  <si>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</si>
  <si>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</si>
  <si>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</si>
  <si>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</si>
  <si>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</si>
  <si>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</si>
  <si>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</si>
  <si>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</si>
  <si>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</si>
  <si>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</si>
  <si>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</si>
  <si>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</si>
  <si>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</si>
  <si>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</si>
  <si>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</si>
  <si>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</si>
  <si>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</si>
  <si>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</si>
  <si>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</si>
  <si>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</si>
  <si>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</si>
  <si>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</si>
  <si>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</si>
  <si>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</si>
  <si>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</si>
  <si>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</si>
  <si>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</si>
  <si>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</si>
  <si>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</si>
  <si>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</si>
  <si>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</si>
  <si>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</si>
  <si>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</si>
  <si>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</si>
  <si>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</si>
  <si>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</si>
  <si>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</si>
  <si>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</si>
  <si>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</si>
  <si>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</si>
  <si>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</si>
  <si>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</si>
  <si>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</si>
  <si>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</si>
  <si>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</si>
  <si>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</si>
  <si>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</si>
  <si>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</si>
  <si>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</si>
  <si>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</si>
  <si>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</si>
  <si>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</si>
  <si>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</si>
  <si>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</si>
  <si>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</si>
  <si>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</si>
  <si>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</si>
  <si>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</si>
  <si>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</si>
  <si>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</si>
  <si>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</si>
  <si>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</si>
  <si>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</si>
  <si>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</si>
  <si>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</si>
  <si>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</si>
  <si>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</si>
  <si>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</si>
  <si>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</si>
  <si>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</si>
  <si>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</si>
  <si>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</si>
  <si>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</si>
  <si>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</si>
  <si>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</si>
  <si>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</si>
  <si>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</si>
  <si>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</si>
  <si>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</si>
  <si>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</si>
  <si>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</si>
  <si>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</si>
  <si>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</si>
  <si>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</si>
  <si>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</si>
  <si>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</si>
  <si>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</si>
  <si>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</si>
  <si>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</si>
  <si>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</si>
  <si>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</si>
  <si>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</si>
  <si>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</si>
  <si>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</si>
  <si>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</si>
  <si>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</si>
  <si>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</si>
  <si>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</si>
  <si>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</si>
  <si>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</si>
  <si>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</si>
  <si>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</si>
  <si>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</si>
  <si>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</si>
  <si>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</si>
  <si>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</si>
  <si>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</si>
  <si>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</si>
  <si>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</si>
  <si>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</si>
  <si>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</si>
  <si>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</si>
  <si>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</si>
  <si>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</si>
  <si>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</si>
  <si>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</si>
  <si>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</si>
  <si>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</si>
  <si>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</si>
  <si>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</si>
  <si>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</si>
  <si>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</si>
  <si>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</si>
  <si>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</si>
  <si>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</si>
  <si>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</si>
  <si>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</si>
  <si>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</si>
  <si>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</si>
  <si>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</si>
  <si>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</si>
  <si>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</si>
  <si>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</si>
  <si>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</si>
  <si>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</si>
  <si>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</si>
  <si>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</si>
  <si>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</si>
  <si>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</si>
  <si>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</si>
  <si>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</si>
  <si>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</si>
  <si>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</si>
  <si>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</si>
  <si>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</si>
  <si>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</si>
  <si>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</si>
  <si>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</si>
  <si>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</si>
  <si>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</si>
  <si>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</si>
  <si>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</si>
  <si>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</si>
  <si>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</si>
  <si>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</si>
  <si>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</si>
  <si>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</si>
  <si>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</si>
  <si>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</si>
  <si>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</si>
  <si>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</si>
  <si>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</si>
  <si>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</si>
  <si>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</si>
  <si>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</si>
  <si>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</si>
  <si>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</si>
  <si>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</si>
  <si>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</si>
  <si>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</si>
  <si>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</si>
  <si>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</si>
  <si>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</si>
  <si>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</si>
  <si>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</si>
  <si>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</si>
  <si>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</si>
  <si>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</si>
  <si>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</si>
  <si>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</si>
  <si>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</si>
  <si>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</si>
  <si>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</si>
  <si>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</si>
  <si>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</si>
  <si>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</si>
  <si>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</si>
  <si>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</si>
  <si>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</si>
  <si>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</si>
  <si>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</si>
  <si>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</si>
  <si>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</si>
  <si>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</si>
  <si>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</si>
  <si>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</si>
  <si>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</si>
  <si>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</si>
  <si>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</si>
  <si>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</si>
  <si>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</si>
  <si>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</si>
  <si>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</si>
  <si>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</si>
  <si>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</si>
  <si>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</si>
  <si>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</si>
  <si>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</si>
  <si>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</si>
  <si>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</si>
  <si>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</si>
  <si>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</si>
  <si>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</si>
  <si>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</si>
  <si>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</si>
  <si>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</si>
  <si>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</si>
  <si>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</si>
  <si>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</si>
  <si>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</si>
  <si>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</si>
  <si>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</si>
  <si>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</si>
  <si>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</si>
  <si>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</si>
  <si>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</si>
  <si>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</si>
  <si>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</si>
  <si>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</si>
  <si>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</si>
  <si>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</si>
  <si>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</si>
  <si>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</si>
  <si>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</si>
  <si>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</si>
  <si>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</si>
  <si>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</si>
  <si>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</si>
  <si>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</si>
  <si>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</si>
  <si>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</si>
  <si>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</si>
  <si>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</si>
  <si>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</si>
  <si>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</si>
  <si>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</si>
  <si>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</si>
  <si>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</si>
  <si>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</si>
  <si>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</si>
  <si>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</si>
  <si>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</si>
  <si>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</si>
  <si>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</si>
  <si>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</si>
  <si>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</si>
  <si>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</si>
  <si>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</si>
  <si>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</si>
  <si>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</si>
  <si>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</si>
  <si>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</si>
  <si>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</si>
  <si>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</si>
  <si>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</si>
  <si>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</si>
  <si>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</si>
  <si>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</si>
  <si>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</si>
  <si>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</si>
  <si>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</si>
  <si>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</si>
  <si>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</si>
  <si>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</si>
  <si>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</si>
  <si>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</si>
  <si>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</si>
  <si>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</si>
  <si>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</si>
  <si>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</si>
  <si>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</si>
  <si>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</si>
  <si>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</si>
  <si>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</si>
  <si>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</si>
  <si>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</si>
  <si>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</si>
  <si>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</si>
  <si>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</si>
  <si>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</si>
  <si>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</si>
  <si>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</si>
  <si>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</si>
  <si>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</si>
  <si>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</si>
  <si>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</si>
  <si>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</si>
  <si>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</si>
  <si>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</si>
  <si>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</si>
  <si>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</si>
  <si>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</si>
  <si>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</si>
  <si>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</si>
  <si>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</si>
  <si>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</si>
  <si>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</si>
  <si>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</si>
  <si>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</si>
  <si>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</si>
  <si>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</si>
  <si>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</si>
  <si>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</si>
  <si>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</si>
  <si>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</si>
  <si>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</si>
  <si>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</si>
  <si>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</si>
  <si>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</si>
  <si>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</si>
  <si>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</si>
  <si>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</si>
  <si>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</si>
  <si>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</si>
  <si>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</si>
  <si>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</si>
  <si>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</si>
  <si>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</si>
  <si>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</si>
  <si>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</si>
  <si>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</si>
  <si>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</si>
  <si>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</si>
  <si>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</si>
  <si>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</si>
  <si>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</si>
  <si>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</si>
  <si>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</si>
  <si>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</si>
  <si>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</si>
  <si>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</si>
  <si>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</si>
  <si>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</si>
  <si>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</si>
  <si>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</si>
  <si>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</si>
  <si>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</si>
  <si>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</si>
  <si>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</si>
  <si>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</si>
  <si>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</si>
  <si>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</si>
  <si>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</si>
  <si>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</si>
  <si>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</si>
  <si>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</si>
  <si>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</si>
  <si>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</si>
  <si>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</si>
  <si>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</si>
  <si>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</si>
  <si>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</si>
  <si>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</si>
  <si>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</si>
  <si>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</si>
  <si>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</si>
  <si>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</si>
  <si>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</si>
  <si>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</si>
  <si>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</si>
  <si>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</si>
  <si>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</si>
  <si>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</si>
  <si>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</si>
  <si>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</si>
  <si>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</si>
  <si>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</si>
  <si>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</si>
  <si>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</si>
  <si>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</si>
  <si>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</si>
  <si>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</si>
  <si>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</si>
  <si>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</si>
  <si>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</si>
  <si>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</si>
  <si>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</si>
  <si>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</si>
  <si>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</si>
  <si>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</si>
  <si>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</si>
  <si>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</si>
  <si>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</si>
  <si>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</si>
  <si>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</si>
  <si>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</si>
  <si>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</si>
  <si>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</si>
  <si>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</si>
  <si>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</si>
  <si>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</si>
  <si>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</si>
  <si>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</si>
  <si>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</si>
  <si>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</si>
  <si>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</si>
  <si>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</si>
  <si>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</si>
  <si>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</si>
  <si>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</si>
  <si>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</si>
  <si>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</si>
  <si>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</si>
  <si>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</si>
  <si>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</si>
  <si>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</si>
  <si>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</si>
  <si>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</si>
  <si>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</si>
  <si>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</si>
  <si>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</si>
  <si>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</si>
  <si>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</si>
  <si>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</si>
  <si>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</si>
  <si>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</si>
  <si>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</si>
  <si>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</si>
  <si>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</si>
  <si>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</si>
  <si>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</si>
  <si>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</si>
  <si>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</si>
  <si>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</si>
  <si>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</si>
  <si>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</si>
  <si>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</si>
  <si>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</si>
  <si>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</si>
  <si>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</si>
  <si>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</si>
  <si>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</si>
  <si>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</si>
  <si>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</si>
  <si>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</si>
  <si>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</si>
  <si>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</si>
  <si>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</si>
  <si>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</si>
  <si>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</si>
  <si>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</si>
  <si>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</si>
  <si>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</si>
  <si>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</si>
  <si>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</si>
  <si>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</si>
  <si>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</si>
  <si>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</si>
  <si>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</si>
  <si>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</si>
  <si>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</si>
  <si>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</si>
  <si>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</si>
  <si>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</si>
  <si>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</si>
  <si>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</si>
  <si>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</si>
  <si>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</si>
  <si>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</si>
  <si>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</si>
  <si>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</si>
  <si>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</si>
  <si>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</si>
  <si>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</si>
  <si>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</si>
  <si>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</si>
  <si>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</si>
  <si>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</si>
  <si>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</si>
  <si>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</si>
  <si>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</si>
  <si>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</si>
  <si>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</si>
  <si>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</si>
  <si>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</si>
  <si>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</si>
  <si>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</si>
  <si>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</si>
  <si>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</si>
  <si>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</si>
  <si>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</si>
  <si>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</si>
  <si>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</si>
  <si>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</si>
  <si>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</si>
  <si>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</si>
  <si>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</si>
  <si>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</si>
  <si>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</si>
  <si>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</si>
  <si>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</si>
  <si>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</si>
  <si>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</si>
  <si>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</si>
  <si>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</si>
  <si>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</si>
  <si>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</si>
  <si>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</si>
  <si>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</si>
  <si>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</si>
  <si>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</si>
  <si>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</si>
  <si>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</si>
  <si>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</si>
  <si>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</si>
  <si>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</si>
  <si>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</si>
  <si>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</si>
  <si>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</si>
  <si>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</si>
  <si>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</si>
  <si>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</si>
  <si>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</si>
  <si>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</si>
  <si>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</si>
  <si>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</si>
  <si>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</si>
  <si>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</si>
  <si>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</si>
  <si>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</si>
  <si>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</si>
  <si>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</si>
  <si>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</si>
  <si>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</si>
  <si>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</si>
  <si>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</si>
  <si>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</si>
  <si>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</si>
  <si>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</si>
  <si>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</si>
  <si>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</si>
  <si>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</si>
  <si>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</si>
  <si>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</si>
  <si>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</si>
  <si>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</si>
  <si>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</si>
  <si>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</si>
  <si>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</si>
  <si>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</si>
  <si>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</si>
  <si>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</si>
  <si>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</si>
  <si>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</si>
  <si>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</si>
  <si>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</si>
  <si>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</si>
  <si>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</si>
  <si>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</si>
  <si>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</si>
  <si>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</si>
  <si>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</si>
  <si>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</si>
  <si>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</si>
  <si>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</si>
  <si>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</si>
  <si>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</si>
  <si>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</si>
  <si>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</si>
  <si>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</si>
  <si>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</si>
  <si>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</si>
  <si>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</si>
  <si>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</si>
  <si>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</si>
  <si>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</si>
  <si>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</si>
  <si>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</si>
  <si>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</si>
  <si>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</si>
  <si>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</si>
  <si>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</si>
  <si>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</si>
  <si>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</si>
  <si>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</si>
  <si>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</si>
  <si>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</si>
  <si>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</si>
  <si>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</si>
  <si>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</si>
  <si>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</si>
  <si>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</si>
  <si>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</si>
  <si>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</si>
  <si>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</si>
  <si>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</si>
  <si>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</si>
  <si>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</si>
  <si>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</si>
  <si>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</si>
  <si>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</si>
  <si>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</si>
  <si>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</si>
  <si>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</si>
  <si>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</si>
  <si>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</si>
  <si>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</si>
  <si>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</si>
  <si>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</si>
  <si>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</si>
  <si>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</si>
  <si>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</si>
  <si>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</si>
  <si>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</si>
  <si>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</si>
  <si>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</si>
  <si>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</si>
  <si>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</si>
  <si>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</si>
  <si>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</si>
  <si>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</si>
  <si>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</si>
  <si>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</si>
  <si>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</si>
  <si>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</si>
  <si>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</si>
  <si>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</si>
  <si>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</si>
  <si>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</si>
  <si>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</si>
  <si>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</si>
  <si>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</si>
  <si>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</si>
  <si>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</si>
  <si>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</si>
  <si>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</si>
  <si>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</si>
  <si>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</si>
  <si>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</si>
  <si>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</si>
  <si>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</si>
  <si>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</si>
  <si>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</si>
  <si>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</si>
  <si>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</si>
  <si>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</si>
  <si>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</si>
  <si>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</si>
  <si>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</si>
  <si>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</si>
  <si>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</si>
  <si>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</si>
  <si>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</si>
  <si>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</si>
  <si>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</si>
  <si>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</si>
  <si>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</si>
  <si>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</si>
  <si>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</si>
  <si>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</si>
  <si>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</si>
  <si>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</si>
  <si>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</si>
  <si>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</si>
  <si>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</si>
  <si>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</si>
  <si>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</si>
  <si>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</si>
  <si>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</si>
  <si>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</si>
  <si>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</si>
  <si>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</si>
  <si>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</si>
  <si>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</si>
  <si>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</si>
  <si>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</si>
  <si>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</si>
  <si>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</si>
  <si>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</si>
  <si>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</si>
  <si>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</si>
  <si>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</si>
  <si>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</si>
  <si>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</si>
  <si>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</si>
  <si>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</si>
  <si>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</si>
  <si>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</si>
  <si>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</si>
  <si>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</si>
  <si>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</si>
  <si>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</si>
  <si>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</si>
  <si>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</si>
  <si>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</si>
  <si>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</si>
  <si>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</si>
  <si>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</si>
  <si>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</si>
  <si>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</si>
  <si>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</si>
  <si>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</si>
  <si>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</si>
  <si>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</si>
  <si>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</si>
  <si>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</si>
  <si>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</si>
  <si>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</si>
  <si>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</si>
  <si>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</si>
  <si>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</si>
  <si>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</si>
  <si>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</si>
  <si>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</si>
  <si>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</si>
  <si>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</si>
  <si>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</si>
  <si>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</si>
  <si>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</si>
  <si>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</si>
  <si>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</si>
  <si>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</si>
  <si>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</si>
  <si>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</si>
  <si>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</si>
  <si>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</si>
  <si>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</si>
  <si>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</si>
  <si>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</si>
  <si>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</si>
  <si>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</si>
  <si>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</si>
  <si>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</si>
  <si>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</si>
  <si>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</si>
  <si>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</si>
  <si>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</si>
  <si>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</si>
  <si>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</si>
  <si>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</si>
  <si>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</si>
  <si>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</si>
  <si>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</si>
  <si>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</si>
  <si>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</si>
  <si>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</si>
  <si>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</si>
  <si>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</si>
  <si>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</si>
  <si>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</si>
  <si>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</si>
  <si>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</si>
  <si>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</si>
  <si>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</si>
  <si>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</si>
  <si>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</si>
  <si>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</si>
  <si>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</si>
  <si>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</si>
  <si>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</si>
  <si>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</si>
  <si>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</si>
  <si>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</si>
  <si>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</si>
  <si>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</si>
  <si>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</si>
  <si>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</si>
  <si>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</si>
  <si>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</si>
  <si>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</si>
  <si>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</si>
  <si>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</si>
  <si>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</si>
  <si>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</si>
  <si>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</si>
  <si>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</si>
  <si>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</si>
  <si>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</si>
  <si>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</si>
  <si>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</si>
  <si>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</si>
  <si>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</si>
  <si>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</si>
  <si>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</si>
  <si>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</si>
  <si>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</si>
  <si>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</si>
  <si>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</si>
  <si>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</si>
  <si>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</si>
  <si>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</si>
  <si>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</si>
  <si>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</si>
  <si>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</si>
  <si>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</si>
  <si>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</si>
  <si>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</si>
  <si>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</si>
  <si>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</si>
  <si>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</si>
  <si>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</si>
  <si>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</si>
  <si>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</si>
  <si>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</si>
  <si>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</si>
  <si>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</si>
  <si>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</si>
  <si>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</si>
  <si>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</si>
  <si>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</si>
  <si>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</si>
  <si>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</si>
  <si>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</si>
  <si>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</si>
  <si>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</si>
  <si>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</si>
  <si>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</si>
  <si>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</si>
  <si>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</si>
  <si>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</si>
  <si>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</si>
  <si>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</si>
  <si>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</si>
  <si>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</si>
  <si>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</si>
  <si>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</si>
  <si>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</si>
  <si>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</si>
  <si>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</si>
  <si>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</si>
  <si>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</si>
  <si>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</si>
  <si>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</si>
  <si>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</si>
  <si>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</si>
  <si>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</si>
  <si>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</si>
  <si>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</si>
  <si>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</si>
  <si>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</si>
  <si>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</si>
  <si>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</si>
  <si>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</si>
  <si>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</si>
  <si>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</si>
  <si>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</si>
  <si>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</si>
  <si>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</si>
  <si>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</si>
  <si>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</si>
  <si>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</si>
  <si>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</si>
  <si>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</si>
  <si>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</si>
  <si>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</si>
  <si>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</si>
  <si>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</si>
  <si>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</si>
  <si>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</si>
  <si>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</si>
  <si>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</si>
  <si>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</si>
  <si>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</si>
  <si>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</si>
  <si>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</si>
  <si>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</si>
  <si>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</si>
  <si>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</si>
  <si>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</si>
  <si>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</si>
  <si>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</si>
  <si>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</si>
  <si>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</si>
  <si>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</si>
  <si>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</si>
  <si>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</si>
  <si>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</si>
  <si>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</si>
  <si>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</si>
  <si>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</si>
  <si>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</si>
  <si>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</si>
  <si>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</si>
  <si>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</si>
  <si>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</si>
  <si>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</si>
  <si>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</si>
  <si>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</si>
  <si>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</si>
  <si>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</si>
  <si>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</si>
  <si>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</si>
  <si>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</si>
  <si>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</si>
  <si>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</si>
  <si>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</si>
  <si>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</si>
  <si>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</si>
  <si>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</si>
  <si>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</si>
  <si>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</si>
  <si>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</si>
  <si>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</si>
  <si>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</si>
  <si>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</si>
  <si>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</si>
  <si>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</si>
  <si>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</si>
  <si>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</si>
  <si>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</si>
  <si>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</si>
  <si>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</si>
  <si>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</si>
  <si>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</si>
  <si>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</si>
  <si>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</si>
  <si>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</si>
  <si>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</si>
  <si>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</si>
  <si>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</si>
  <si>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</si>
  <si>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</si>
  <si>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</si>
  <si>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</si>
  <si>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</si>
  <si>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</si>
  <si>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</si>
  <si>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</si>
  <si>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</si>
  <si>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</si>
  <si>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</si>
  <si>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</si>
  <si>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</si>
  <si>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</si>
  <si>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</si>
  <si>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</si>
  <si>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</si>
  <si>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</si>
  <si>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</si>
  <si>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</si>
  <si>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</si>
  <si>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</si>
  <si>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</si>
  <si>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</si>
  <si>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</si>
  <si>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</si>
  <si>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</si>
  <si>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</si>
  <si>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</si>
  <si>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</si>
  <si>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</si>
  <si>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</si>
  <si>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</si>
  <si>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</si>
  <si>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</si>
  <si>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</si>
  <si>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</si>
  <si>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</si>
  <si>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</si>
  <si>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</si>
  <si>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</si>
  <si>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</si>
  <si>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</si>
  <si>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</si>
  <si>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</si>
  <si>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</si>
  <si>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</si>
  <si>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</si>
  <si>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</si>
  <si>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</si>
  <si>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</si>
  <si>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</si>
  <si>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</si>
  <si>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</si>
  <si>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</si>
  <si>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</si>
  <si>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</si>
  <si>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</si>
  <si>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</si>
  <si>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</si>
  <si>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</si>
  <si>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</si>
  <si>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</si>
  <si>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</si>
  <si>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</si>
  <si>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</si>
  <si>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</si>
  <si>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</si>
  <si>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</si>
  <si>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</si>
  <si>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</si>
  <si>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</si>
  <si>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</si>
  <si>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</si>
  <si>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</si>
  <si>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</si>
  <si>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</si>
  <si>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</si>
  <si>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</si>
  <si>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</si>
  <si>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</si>
  <si>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</si>
  <si>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</si>
  <si>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</si>
  <si>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</si>
  <si>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</si>
  <si>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</si>
  <si>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</si>
  <si>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</si>
  <si>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</si>
  <si>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</si>
  <si>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</si>
  <si>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</si>
  <si>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</si>
  <si>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</si>
  <si>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</si>
  <si>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</si>
  <si>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</si>
  <si>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</si>
  <si>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</si>
  <si>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</si>
  <si>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</si>
  <si>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</si>
  <si>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</si>
  <si>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</si>
  <si>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</si>
  <si>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</si>
  <si>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</si>
  <si>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</si>
  <si>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</si>
  <si>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</si>
  <si>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</si>
  <si>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</si>
  <si>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</si>
  <si>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</si>
  <si>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</si>
  <si>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</si>
  <si>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</si>
  <si>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</si>
  <si>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</si>
  <si>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</si>
  <si>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</si>
  <si>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</si>
  <si>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</si>
  <si>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</si>
  <si>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</si>
  <si>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</si>
  <si>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</si>
  <si>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</si>
  <si>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</si>
  <si>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</si>
  <si>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</si>
  <si>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</si>
  <si>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</si>
  <si>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</si>
  <si>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</si>
  <si>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</si>
  <si>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</si>
  <si>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</si>
  <si>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</si>
  <si>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</si>
  <si>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</si>
  <si>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</si>
  <si>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</si>
  <si>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</si>
  <si>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</si>
  <si>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</si>
  <si>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</si>
  <si>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</si>
  <si>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</si>
  <si>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</si>
  <si>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</si>
  <si>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</si>
  <si>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</si>
  <si>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</si>
  <si>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</si>
  <si>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</si>
  <si>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</si>
  <si>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</si>
  <si>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</si>
  <si>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</si>
  <si>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</si>
  <si>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</si>
  <si>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</si>
  <si>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</si>
  <si>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</si>
  <si>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</si>
  <si>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</si>
  <si>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</si>
  <si>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</si>
  <si>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</si>
  <si>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</si>
  <si>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</si>
  <si>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</si>
  <si>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</si>
  <si>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</si>
  <si>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</si>
  <si>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</si>
  <si>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</si>
  <si>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</si>
  <si>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</si>
  <si>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</si>
  <si>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</si>
  <si>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</si>
  <si>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</si>
  <si>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</si>
  <si>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</si>
  <si>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</si>
  <si>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</si>
  <si>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</si>
  <si>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</si>
  <si>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</si>
  <si>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</si>
  <si>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</si>
  <si>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</si>
  <si>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</si>
  <si>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</si>
  <si>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</si>
  <si>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</si>
  <si>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</si>
  <si>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</si>
  <si>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</si>
  <si>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</si>
  <si>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</si>
  <si>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</si>
  <si>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</si>
  <si>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</si>
  <si>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</si>
  <si>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</si>
  <si>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</si>
  <si>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</si>
  <si>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</si>
  <si>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</si>
  <si>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</si>
  <si>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</si>
  <si>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</si>
  <si>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</si>
  <si>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</si>
  <si>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</si>
  <si>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</si>
  <si>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</si>
  <si>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</si>
  <si>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</si>
  <si>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</si>
  <si>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</si>
  <si>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</si>
  <si>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</si>
  <si>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</si>
  <si>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</si>
  <si>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</si>
  <si>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</si>
  <si>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</si>
  <si>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</si>
  <si>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</si>
  <si>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</si>
  <si>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</si>
  <si>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</si>
  <si>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</si>
  <si>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</si>
  <si>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</si>
  <si>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</si>
  <si>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</si>
  <si>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</si>
  <si>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</si>
  <si>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</si>
  <si>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</si>
  <si>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</si>
  <si>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</si>
  <si>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</si>
  <si>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</si>
  <si>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</si>
  <si>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</si>
  <si>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</si>
  <si>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</si>
  <si>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</si>
  <si>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</si>
  <si>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</si>
  <si>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</si>
  <si>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</si>
  <si>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</si>
  <si>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</si>
  <si>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</si>
  <si>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</si>
  <si>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</si>
  <si>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</si>
  <si>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</si>
  <si>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</si>
  <si>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</si>
  <si>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</si>
  <si>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</si>
  <si>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</si>
  <si>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</si>
  <si>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</si>
  <si>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</si>
  <si>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</si>
  <si>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</si>
  <si>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</si>
  <si>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</si>
  <si>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</si>
  <si>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</si>
  <si>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</si>
  <si>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</si>
  <si>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</si>
  <si>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</si>
  <si>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</si>
  <si>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</si>
  <si>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</si>
  <si>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</si>
  <si>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</si>
  <si>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</si>
  <si>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</si>
  <si>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</si>
  <si>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</si>
  <si>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</si>
  <si>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</si>
  <si>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</si>
  <si>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</si>
  <si>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</si>
  <si>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</si>
  <si>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</si>
  <si>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</si>
  <si>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</si>
  <si>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</si>
  <si>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</si>
  <si>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</si>
  <si>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</si>
  <si>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</si>
  <si>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</si>
  <si>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</si>
  <si>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</si>
  <si>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</si>
  <si>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</si>
  <si>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</si>
  <si>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</si>
  <si>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</si>
  <si>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</si>
  <si>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</si>
  <si>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</si>
  <si>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</si>
  <si>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</si>
  <si>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</si>
  <si>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</si>
  <si>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</si>
  <si>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</si>
  <si>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</si>
  <si>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</si>
  <si>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</si>
  <si>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</si>
  <si>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</si>
  <si>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</si>
  <si>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</si>
  <si>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</si>
  <si>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</si>
  <si>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</si>
  <si>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</si>
  <si>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</si>
  <si>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</si>
  <si>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</si>
  <si>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</si>
  <si>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</si>
  <si>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</si>
  <si>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</si>
  <si>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</si>
  <si>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</si>
  <si>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</si>
  <si>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</si>
  <si>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</si>
  <si>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</si>
  <si>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</si>
  <si>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</si>
  <si>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</si>
  <si>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</si>
  <si>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</si>
  <si>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</si>
  <si>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</si>
  <si>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</si>
  <si>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</si>
  <si>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</si>
  <si>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</si>
  <si>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</si>
  <si>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</si>
  <si>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</si>
  <si>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</si>
  <si>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</si>
  <si>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</si>
  <si>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</si>
  <si>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</si>
  <si>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</si>
  <si>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</si>
  <si>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</si>
  <si>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</si>
  <si>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</si>
  <si>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</si>
  <si>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</si>
  <si>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</si>
  <si>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</si>
  <si>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</si>
  <si>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</si>
  <si>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</si>
  <si>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</si>
  <si>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</si>
  <si>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</si>
  <si>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</si>
  <si>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</si>
  <si>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</si>
  <si>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</si>
  <si>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</si>
  <si>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</si>
  <si>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</si>
  <si>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</si>
  <si>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</si>
  <si>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</si>
  <si>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</si>
  <si>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</si>
  <si>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</si>
  <si>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</si>
  <si>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</si>
  <si>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</si>
  <si>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</si>
  <si>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</si>
  <si>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</si>
  <si>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</si>
  <si>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</si>
  <si>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</si>
  <si>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</si>
  <si>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</si>
  <si>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</si>
  <si>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</si>
  <si>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</si>
  <si>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</si>
  <si>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</si>
  <si>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</si>
  <si>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</si>
  <si>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</si>
  <si>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</si>
  <si>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</si>
  <si>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</si>
  <si>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</si>
  <si>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</si>
  <si>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</si>
  <si>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</si>
  <si>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</si>
  <si>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</si>
  <si>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</si>
  <si>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</si>
  <si>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</si>
  <si>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</si>
  <si>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</si>
  <si>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</si>
  <si>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</si>
  <si>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</si>
  <si>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</si>
  <si>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</si>
  <si>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</si>
  <si>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</si>
  <si>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</si>
  <si>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</si>
  <si>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</si>
  <si>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</si>
  <si>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</si>
  <si>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</si>
  <si>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</si>
  <si>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</si>
  <si>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</si>
  <si>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</si>
  <si>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</si>
  <si>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</si>
  <si>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</si>
  <si>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</si>
  <si>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</si>
  <si>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</si>
  <si>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</si>
  <si>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</si>
  <si>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</si>
  <si>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</si>
  <si>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</si>
  <si>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</si>
  <si>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</si>
  <si>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</si>
  <si>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</si>
  <si>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</si>
  <si>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</si>
  <si>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</si>
  <si>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</si>
  <si>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</si>
  <si>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</si>
  <si>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</si>
  <si>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</si>
  <si>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</si>
  <si>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</si>
  <si>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</si>
  <si>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</si>
  <si>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</si>
  <si>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</si>
  <si>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</si>
  <si>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</si>
  <si>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</si>
  <si>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</si>
  <si>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</si>
  <si>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</si>
  <si>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</si>
  <si>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</si>
  <si>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</si>
  <si>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</si>
  <si>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</si>
  <si>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</si>
  <si>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</si>
  <si>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</si>
  <si>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</si>
  <si>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</si>
  <si>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</si>
  <si>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</si>
  <si>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</si>
  <si>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</si>
  <si>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</si>
  <si>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</si>
  <si>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</si>
  <si>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</si>
  <si>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</si>
  <si>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</si>
  <si>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</si>
  <si>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</si>
  <si>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</si>
  <si>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</si>
  <si>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</si>
  <si>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</si>
  <si>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</si>
  <si>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</si>
  <si>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</si>
  <si>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</si>
  <si>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</si>
  <si>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</si>
  <si>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</si>
  <si>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</si>
  <si>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</si>
  <si>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</si>
  <si>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</si>
  <si>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</si>
  <si>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</si>
  <si>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</si>
  <si>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</si>
  <si>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</si>
  <si>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</si>
  <si>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</si>
  <si>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</si>
  <si>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</si>
  <si>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</si>
  <si>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</si>
  <si>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</si>
  <si>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</si>
  <si>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</si>
  <si>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</si>
  <si>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</si>
  <si>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</si>
  <si>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</si>
  <si>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</si>
  <si>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</si>
  <si>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</si>
  <si>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</si>
  <si>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</si>
  <si>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</si>
  <si>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</si>
  <si>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</si>
  <si>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</si>
  <si>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</si>
  <si>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</si>
  <si>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</si>
  <si>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</si>
  <si>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</si>
  <si>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</si>
  <si>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</si>
  <si>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</si>
  <si>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</si>
  <si>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</si>
  <si>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</si>
  <si>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</si>
  <si>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</si>
  <si>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</si>
  <si>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</si>
  <si>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</si>
  <si>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</si>
  <si>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</si>
  <si>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</si>
  <si>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</si>
  <si>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</si>
  <si>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</si>
  <si>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</si>
  <si>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</si>
  <si>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</si>
  <si>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</si>
  <si>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</si>
  <si>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</si>
  <si>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</si>
  <si>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</si>
  <si>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</si>
  <si>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</si>
  <si>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</si>
  <si>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</si>
  <si>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</si>
  <si>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</si>
  <si>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</si>
  <si>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</si>
  <si>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</si>
  <si>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</si>
  <si>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</si>
  <si>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</si>
  <si>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</si>
  <si>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</si>
  <si>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</si>
  <si>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</si>
  <si>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</si>
  <si>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</si>
  <si>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</si>
  <si>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</si>
  <si>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</si>
  <si>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</si>
  <si>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</si>
  <si>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</si>
  <si>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</si>
  <si>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</si>
  <si>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</si>
  <si>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</si>
  <si>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</si>
  <si>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</si>
  <si>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</si>
  <si>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</si>
  <si>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</si>
  <si>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</si>
  <si>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</si>
  <si>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</si>
  <si>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</si>
  <si>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</si>
  <si>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</si>
  <si>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</si>
  <si>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</si>
  <si>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</si>
  <si>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</si>
  <si>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</si>
  <si>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</si>
  <si>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</si>
  <si>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</si>
  <si>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</si>
  <si>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</si>
  <si>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</si>
  <si>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</si>
  <si>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</si>
  <si>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</si>
  <si>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</si>
  <si>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</si>
  <si>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</si>
  <si>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</si>
  <si>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</si>
  <si>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</si>
  <si>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</si>
  <si>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</si>
  <si>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</si>
  <si>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</si>
  <si>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</si>
  <si>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</si>
  <si>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</si>
  <si>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</si>
  <si>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</si>
  <si>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</si>
  <si>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</si>
  <si>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</si>
  <si>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</si>
  <si>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</si>
  <si>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</si>
  <si>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</si>
  <si>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</si>
  <si>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</si>
  <si>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</si>
  <si>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</si>
  <si>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</si>
  <si>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</si>
  <si>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</si>
  <si>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</si>
  <si>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</si>
  <si>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</si>
  <si>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</si>
  <si>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</si>
  <si>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</si>
  <si>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</si>
  <si>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</si>
  <si>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</si>
  <si>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</si>
  <si>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</si>
  <si>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</si>
  <si>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</si>
  <si>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</si>
  <si>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</si>
  <si>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</si>
  <si>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</si>
  <si>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</si>
  <si>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</si>
  <si>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</si>
  <si>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</si>
  <si>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</si>
  <si>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</si>
  <si>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</si>
  <si>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</si>
  <si>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</si>
  <si>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</si>
  <si>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</si>
  <si>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</si>
  <si>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</si>
  <si>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</si>
  <si>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</si>
  <si>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</si>
  <si>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</si>
  <si>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</si>
  <si>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</si>
  <si>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</si>
  <si>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</si>
  <si>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</si>
  <si>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</si>
  <si>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</si>
  <si>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</si>
  <si>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</si>
  <si>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</si>
  <si>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</si>
  <si>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</si>
  <si>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</si>
  <si>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</si>
  <si>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</si>
  <si>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</si>
  <si>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</si>
  <si>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</si>
  <si>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</si>
  <si>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</si>
  <si>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</si>
  <si>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</si>
  <si>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</si>
  <si>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</si>
  <si>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</si>
  <si>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</si>
  <si>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</si>
  <si>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</si>
  <si>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</si>
  <si>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</si>
  <si>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</si>
  <si>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</si>
  <si>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</si>
  <si>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</si>
  <si>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</si>
  <si>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</si>
  <si>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</si>
  <si>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</si>
  <si>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</si>
  <si>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</si>
  <si>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</si>
  <si>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</si>
  <si>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</si>
  <si>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</si>
  <si>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</si>
  <si>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</si>
  <si>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</si>
  <si>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</si>
  <si>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</si>
  <si>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</si>
  <si>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</si>
  <si>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</si>
  <si>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</si>
  <si>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</si>
  <si>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</si>
  <si>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</si>
  <si>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</si>
  <si>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</si>
  <si>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</si>
  <si>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</si>
  <si>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</si>
  <si>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</si>
  <si>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</si>
  <si>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</si>
  <si>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</si>
  <si>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</si>
  <si>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</si>
  <si>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</si>
  <si>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</si>
  <si>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</si>
  <si>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</si>
  <si>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</si>
  <si>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</si>
  <si>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</si>
  <si>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</si>
  <si>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</si>
  <si>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</si>
  <si>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</si>
  <si>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</si>
  <si>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</si>
  <si>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</si>
  <si>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</si>
  <si>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</si>
  <si>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</si>
  <si>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</si>
  <si>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</si>
  <si>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</si>
  <si>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</si>
  <si>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</si>
  <si>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</si>
  <si>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</si>
  <si>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</si>
  <si>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</si>
  <si>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</si>
  <si>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</si>
  <si>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</si>
  <si>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</si>
  <si>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</si>
  <si>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</si>
  <si>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</si>
  <si>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</si>
  <si>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</si>
  <si>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</si>
  <si>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</si>
  <si>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</si>
  <si>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</si>
  <si>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</si>
  <si>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</si>
  <si>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</si>
  <si>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</si>
  <si>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</si>
  <si>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</si>
  <si>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</si>
  <si>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</si>
  <si>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</si>
  <si>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</si>
  <si>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</si>
  <si>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</si>
  <si>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</si>
  <si>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</si>
  <si>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</si>
  <si>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</si>
  <si>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</si>
  <si>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</si>
  <si>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</si>
  <si>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</si>
  <si>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</si>
  <si>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</si>
  <si>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</si>
  <si>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</si>
  <si>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</si>
  <si>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</si>
  <si>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</si>
  <si>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</si>
  <si>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</si>
  <si>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</si>
  <si>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</si>
  <si>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</si>
  <si>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</si>
  <si>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</si>
  <si>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</si>
  <si>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</si>
  <si>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</si>
  <si>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</si>
  <si>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</si>
  <si>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</si>
  <si>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</si>
  <si>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</si>
  <si>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</si>
  <si>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</si>
  <si>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</si>
  <si>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</si>
  <si>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</si>
  <si>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</si>
  <si>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</si>
  <si>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</si>
  <si>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</si>
  <si>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</si>
  <si>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</si>
  <si>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</si>
  <si>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</si>
  <si>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</si>
  <si>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</si>
  <si>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</si>
  <si>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</si>
  <si>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</si>
  <si>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</si>
  <si>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</si>
  <si>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</si>
  <si>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</si>
  <si>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</si>
  <si>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</si>
  <si>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</si>
  <si>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</si>
  <si>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</si>
  <si>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</si>
  <si>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</si>
  <si>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</si>
  <si>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</si>
  <si>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</si>
  <si>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</si>
  <si>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</si>
  <si>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</si>
  <si>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</si>
  <si>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</si>
  <si>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</si>
  <si>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</si>
  <si>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</si>
  <si>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</si>
  <si>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</si>
  <si>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</si>
  <si>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</si>
  <si>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</si>
  <si>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</si>
  <si>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</si>
  <si>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</si>
  <si>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</si>
  <si>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</si>
  <si>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</si>
  <si>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</si>
  <si>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</si>
  <si>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</si>
  <si>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</si>
  <si>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</si>
  <si>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</si>
  <si>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</si>
  <si>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</si>
  <si>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</si>
  <si>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</si>
  <si>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</si>
  <si>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</si>
  <si>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</si>
  <si>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</si>
  <si>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</si>
  <si>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</si>
  <si>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</si>
  <si>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</si>
  <si>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</si>
  <si>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</si>
  <si>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</si>
  <si>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</si>
  <si>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</si>
  <si>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</si>
  <si>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</si>
  <si>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</si>
  <si>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</si>
  <si>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</si>
  <si>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</si>
  <si>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</si>
  <si>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</si>
  <si>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</si>
  <si>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</si>
  <si>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</si>
  <si>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</si>
  <si>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</si>
  <si>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</si>
  <si>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</si>
  <si>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</si>
  <si>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</si>
  <si>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</si>
  <si>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</si>
  <si>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</si>
  <si>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</si>
  <si>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</si>
  <si>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</si>
  <si>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</si>
  <si>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</si>
  <si>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</si>
  <si>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</si>
  <si>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</si>
  <si>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</si>
  <si>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</si>
  <si>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</si>
  <si>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</si>
  <si>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</si>
  <si>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</si>
  <si>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</si>
  <si>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</si>
  <si>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</si>
  <si>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</si>
  <si>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</si>
  <si>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</si>
  <si>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</si>
  <si>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</si>
  <si>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</si>
  <si>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</si>
  <si>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</si>
  <si>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</si>
  <si>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</si>
  <si>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</si>
  <si>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</si>
  <si>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</si>
  <si>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</si>
  <si>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</si>
  <si>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</si>
  <si>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</si>
  <si>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</si>
  <si>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</si>
  <si>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</si>
  <si>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</si>
  <si>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</si>
  <si>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</si>
  <si>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</si>
  <si>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</si>
  <si>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</si>
  <si>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</si>
  <si>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</si>
  <si>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</si>
  <si>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</si>
  <si>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</si>
  <si>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</si>
  <si>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</si>
  <si>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</si>
  <si>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</si>
  <si>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</si>
  <si>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</si>
  <si>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</si>
  <si>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</si>
  <si>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</si>
  <si>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</si>
  <si>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</si>
  <si>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</si>
  <si>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</si>
  <si>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</si>
  <si>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</si>
  <si>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</si>
  <si>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</si>
  <si>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</si>
  <si>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</si>
  <si>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</si>
  <si>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</si>
  <si>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</si>
  <si>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</si>
  <si>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</si>
  <si>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</si>
  <si>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</si>
  <si>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</si>
  <si>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</si>
  <si>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</si>
  <si>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</si>
  <si>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</si>
  <si>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</si>
  <si>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</si>
  <si>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</si>
  <si>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</si>
  <si>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</si>
  <si>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</si>
  <si>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</si>
  <si>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</si>
  <si>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</si>
  <si>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</si>
  <si>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</si>
  <si>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</si>
  <si>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</si>
  <si>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</si>
  <si>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</si>
  <si>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</si>
  <si>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</si>
  <si>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</si>
  <si>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</si>
  <si>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</si>
  <si>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</si>
  <si>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</si>
  <si>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</si>
  <si>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</si>
  <si>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</si>
  <si>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</si>
  <si>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</si>
  <si>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</si>
  <si>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</si>
  <si>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</si>
  <si>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</si>
  <si>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</si>
  <si>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</si>
  <si>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</si>
  <si>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</si>
  <si>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</si>
  <si>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</si>
  <si>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</si>
  <si>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</si>
  <si>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</si>
  <si>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</si>
  <si>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</si>
  <si>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</si>
  <si>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</si>
  <si>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</si>
  <si>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</si>
  <si>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</si>
  <si>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</si>
  <si>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</si>
  <si>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</si>
  <si>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</si>
  <si>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</si>
  <si>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</si>
  <si>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</si>
  <si>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</si>
  <si>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</si>
  <si>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</si>
  <si>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</si>
  <si>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</si>
  <si>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</si>
  <si>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</si>
  <si>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</si>
  <si>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</si>
  <si>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</si>
  <si>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</si>
  <si>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</si>
  <si>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</si>
  <si>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</si>
  <si>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</si>
  <si>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</si>
  <si>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</si>
  <si>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</si>
  <si>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</si>
  <si>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</si>
  <si>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</si>
  <si>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</si>
  <si>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</si>
  <si>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</si>
  <si>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</si>
  <si>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</si>
  <si>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</si>
  <si>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</si>
  <si>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</si>
  <si>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</si>
  <si>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</si>
  <si>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</si>
  <si>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</si>
  <si>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</si>
  <si>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</si>
  <si>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</si>
  <si>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</si>
  <si>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</si>
  <si>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</si>
  <si>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</si>
  <si>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</si>
  <si>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</si>
  <si>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</si>
  <si>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</si>
  <si>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</si>
  <si>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</si>
  <si>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</si>
  <si>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</si>
  <si>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</si>
  <si>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</si>
  <si>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</si>
  <si>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</si>
  <si>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</si>
  <si>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</si>
  <si>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</si>
  <si>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</si>
  <si>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</si>
  <si>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</si>
  <si>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</si>
  <si>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</si>
  <si>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</si>
  <si>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</si>
  <si>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</si>
  <si>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</si>
  <si>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</si>
  <si>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</si>
  <si>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</si>
  <si>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</si>
  <si>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</si>
  <si>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</si>
  <si>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</si>
  <si>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</si>
  <si>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</si>
  <si>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</si>
  <si>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</si>
  <si>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</si>
  <si>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</si>
  <si>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</si>
  <si>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</si>
  <si>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</si>
  <si>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</si>
  <si>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</si>
  <si>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</si>
  <si>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</si>
  <si>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</si>
  <si>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</si>
  <si>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</si>
  <si>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</si>
  <si>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</si>
  <si>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</si>
  <si>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</si>
  <si>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</si>
  <si>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</si>
  <si>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</si>
  <si>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</si>
  <si>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</si>
  <si>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</si>
  <si>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</si>
  <si>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</si>
  <si>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</si>
  <si>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</si>
  <si>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</si>
  <si>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</si>
  <si>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</si>
  <si>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</si>
  <si>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</si>
  <si>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</si>
  <si>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</si>
  <si>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</si>
  <si>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</si>
  <si>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</si>
  <si>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</si>
  <si>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</si>
  <si>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</si>
  <si>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</si>
  <si>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</si>
  <si>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</si>
  <si>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</si>
  <si>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</si>
  <si>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</si>
  <si>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</si>
  <si>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</si>
  <si>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</si>
  <si>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</si>
  <si>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</si>
  <si>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</si>
  <si>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</si>
  <si>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</si>
  <si>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</si>
  <si>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</si>
  <si>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</si>
  <si>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</si>
  <si>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</si>
  <si>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</si>
  <si>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</si>
  <si>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</si>
  <si>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</si>
  <si>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</si>
  <si>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</si>
  <si>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</si>
  <si>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</si>
  <si>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</si>
  <si>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</si>
  <si>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</si>
  <si>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</si>
  <si>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</si>
  <si>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</si>
  <si>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</si>
  <si>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</si>
  <si>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</si>
  <si>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</si>
  <si>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</si>
  <si>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</si>
  <si>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</si>
  <si>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</si>
  <si>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</si>
  <si>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</si>
  <si>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</si>
  <si>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</si>
  <si>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</si>
  <si>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</si>
  <si>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</si>
  <si>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</si>
  <si>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</si>
  <si>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</si>
  <si>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</si>
  <si>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</si>
  <si>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</si>
  <si>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</si>
  <si>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</si>
  <si>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</si>
  <si>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</si>
  <si>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</si>
  <si>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</si>
  <si>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</si>
  <si>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</si>
  <si>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</si>
  <si>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</si>
  <si>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</si>
  <si>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</si>
  <si>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</si>
  <si>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</si>
  <si>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</si>
  <si>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</si>
  <si>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</si>
  <si>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</si>
  <si>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</si>
  <si>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</si>
  <si>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</si>
  <si>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</si>
  <si>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</si>
  <si>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</si>
  <si>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</si>
  <si>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</si>
  <si>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</si>
  <si>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</si>
  <si>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</si>
  <si>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</si>
  <si>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</si>
  <si>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</si>
  <si>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</si>
  <si>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</si>
  <si>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</si>
  <si>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</si>
  <si>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</si>
  <si>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</si>
  <si>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</si>
  <si>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</si>
  <si>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</si>
  <si>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</si>
  <si>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</si>
  <si>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</si>
  <si>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</si>
  <si>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</si>
  <si>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</si>
  <si>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</si>
  <si>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</si>
  <si>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</si>
  <si>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</si>
  <si>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</si>
  <si>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</si>
  <si>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</si>
  <si>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</si>
  <si>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</si>
  <si>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</si>
  <si>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</si>
  <si>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</si>
  <si>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</si>
  <si>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</si>
  <si>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</si>
  <si>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</si>
  <si>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</si>
  <si>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</si>
  <si>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</si>
  <si>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</si>
  <si>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</si>
  <si>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</si>
  <si>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</si>
  <si>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</si>
  <si>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</si>
  <si>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</si>
  <si>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</si>
  <si>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</si>
  <si>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</si>
  <si>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</si>
  <si>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</si>
  <si>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</si>
  <si>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</si>
  <si>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</si>
  <si>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</si>
  <si>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</si>
  <si>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</si>
  <si>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</si>
  <si>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</si>
  <si>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</si>
  <si>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</si>
  <si>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</si>
  <si>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</si>
  <si>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</si>
  <si>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</si>
  <si>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</si>
  <si>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</si>
  <si>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</si>
  <si>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</si>
  <si>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</si>
  <si>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</si>
  <si>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</si>
  <si>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</si>
  <si>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</si>
  <si>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</si>
  <si>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</si>
  <si>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</si>
  <si>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</si>
  <si>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</si>
  <si>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</si>
  <si>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</si>
  <si>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</si>
  <si>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</si>
  <si>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</si>
  <si>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</si>
  <si>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</si>
  <si>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</si>
  <si>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</si>
  <si>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</si>
  <si>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</si>
  <si>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</si>
  <si>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</si>
  <si>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</si>
  <si>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</si>
  <si>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</si>
  <si>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</si>
  <si>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</si>
  <si>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</si>
  <si>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</si>
  <si>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</si>
  <si>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</si>
  <si>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</si>
  <si>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</si>
  <si>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</si>
  <si>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</si>
  <si>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</si>
  <si>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</si>
  <si>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</si>
  <si>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</si>
  <si>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</si>
  <si>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</si>
  <si>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</si>
  <si>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</si>
  <si>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</si>
  <si>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</si>
  <si>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</si>
  <si>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</si>
  <si>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</si>
  <si>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</si>
  <si>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</si>
  <si>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</si>
  <si>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</si>
  <si>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</si>
  <si>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</si>
  <si>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Lampy</t>
  </si>
  <si>
    <t xml:space="preserve">Alzonne</t>
  </si>
  <si>
    <t xml:space="preserve">06177959</t>
  </si>
  <si>
    <t xml:space="preserve">RCS LR 2015</t>
  </si>
  <si>
    <t xml:space="preserve">pl. lent</t>
  </si>
  <si>
    <t xml:space="preserve">moyen</t>
  </si>
  <si>
    <t xml:space="preserve">très élevé</t>
  </si>
  <si>
    <t xml:space="preserve">absent</t>
  </si>
  <si>
    <t xml:space="preserve">Référence des noms taxons</t>
  </si>
  <si>
    <t xml:space="preserve">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</si>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</sst>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P24" activeCellId="0" sqref="A1:P2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42192</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10.6666666666667</v>
      </c>
      <c r="N5" s="352"/>
      <c r="O5" s="353" t="s">
        <v>307</v>
      </c>
      <c r="P5" s="354" t="n">
        <v>6</v>
      </c>
      <c r="Q5" s="355"/>
      <c r="R5" s="309"/>
      <c r="S5" s="309"/>
      <c r="T5" s="309"/>
      <c r="U5" s="309"/>
      <c r="V5" s="309"/>
      <c r="W5" s="323"/>
    </row>
    <row r="6" customFormat="false" ht="13.5" hidden="false" customHeight="false" outlineLevel="0" collapsed="false">
      <c r="A6" s="342" t="s">
        <v>3386</v>
      </c>
      <c r="B6" s="356" t="s">
        <v>3458</v>
      </c>
      <c r="C6" s="357"/>
      <c r="D6" s="358"/>
      <c r="E6" s="358"/>
      <c r="F6" s="359"/>
      <c r="G6" s="347"/>
      <c r="H6" s="345"/>
      <c r="I6" s="309"/>
      <c r="J6" s="360"/>
      <c r="K6" s="361"/>
      <c r="L6" s="362" t="s">
        <v>3387</v>
      </c>
      <c r="M6" s="363" t="s">
        <v>3459</v>
      </c>
      <c r="N6" s="364"/>
      <c r="O6" s="365" t="n">
        <v>1</v>
      </c>
      <c r="P6" s="366" t="s">
        <v>3460</v>
      </c>
      <c r="Q6" s="367"/>
      <c r="R6" s="309"/>
      <c r="S6" s="309"/>
      <c r="T6" s="309"/>
      <c r="U6" s="309"/>
      <c r="V6" s="309"/>
      <c r="W6" s="323"/>
    </row>
    <row r="7" customFormat="false" ht="12.75" hidden="false" customHeight="false" outlineLevel="0" collapsed="false">
      <c r="A7" s="368" t="s">
        <v>3388</v>
      </c>
      <c r="B7" s="369" t="n">
        <v>100</v>
      </c>
      <c r="C7" s="370"/>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9.5</v>
      </c>
      <c r="P8" s="384" t="n">
        <f aca="false">IF(ISERROR(AVERAGE(K23:K82)),"  ",AVERAGE(K23:K82))</f>
        <v>1.5</v>
      </c>
      <c r="Q8" s="385"/>
      <c r="R8" s="309"/>
      <c r="S8" s="309"/>
      <c r="T8" s="309"/>
      <c r="U8" s="309"/>
      <c r="V8" s="309"/>
      <c r="W8" s="323"/>
    </row>
    <row r="9" customFormat="false" ht="12.75" hidden="false" customHeight="false" outlineLevel="0" collapsed="false">
      <c r="A9" s="342" t="s">
        <v>3394</v>
      </c>
      <c r="B9" s="386" t="n">
        <v>0</v>
      </c>
      <c r="C9" s="387"/>
      <c r="D9" s="388"/>
      <c r="E9" s="388"/>
      <c r="F9" s="389" t="n">
        <f aca="false">($B9*$B$7+$C9*$C$7)/100</f>
        <v>0</v>
      </c>
      <c r="G9" s="390"/>
      <c r="H9" s="345"/>
      <c r="I9" s="309"/>
      <c r="J9" s="391"/>
      <c r="K9" s="392"/>
      <c r="L9" s="375"/>
      <c r="M9" s="393"/>
      <c r="N9" s="383" t="s">
        <v>3395</v>
      </c>
      <c r="O9" s="384" t="n">
        <f aca="false">IF(ISERROR(STDEVP(J23:J82))," ",STDEVP(J23:J82))</f>
        <v>3.5</v>
      </c>
      <c r="P9" s="384" t="n">
        <f aca="false">IF(ISERROR(STDEVP(K23:K82)),"  ",STDEVP(K23:K82))</f>
        <v>0.5</v>
      </c>
      <c r="Q9" s="385"/>
      <c r="R9" s="309"/>
      <c r="S9" s="309"/>
      <c r="T9" s="309"/>
      <c r="U9" s="309"/>
      <c r="V9" s="309"/>
      <c r="W9" s="323"/>
    </row>
    <row r="10" customFormat="false" ht="12.75" hidden="false" customHeight="false" outlineLevel="0" collapsed="false">
      <c r="A10" s="342" t="s">
        <v>3396</v>
      </c>
      <c r="B10" s="394" t="s">
        <v>3461</v>
      </c>
      <c r="C10" s="395"/>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2</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2</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2</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1</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1</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1</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0.01</v>
      </c>
      <c r="C20" s="461" t="n">
        <f aca="false">SUM(C23:C62)</f>
        <v>0</v>
      </c>
      <c r="D20" s="462"/>
      <c r="E20" s="463" t="s">
        <v>3419</v>
      </c>
      <c r="F20" s="464" t="n">
        <f aca="false">($B20*$B$7+$C20*$C$7)/100</f>
        <v>0.01</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0.01</v>
      </c>
      <c r="C21" s="472" t="n">
        <f aca="false">C20*C7/100</f>
        <v>0</v>
      </c>
      <c r="D21" s="473" t="s">
        <v>3422</v>
      </c>
      <c r="E21" s="474"/>
      <c r="F21" s="475" t="n">
        <f aca="false">B21+C21</f>
        <v>0.01</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0.005</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0.005</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307</v>
      </c>
      <c r="B24" s="519" t="n">
        <v>0.005</v>
      </c>
      <c r="C24" s="520"/>
      <c r="D24" s="521" t="str">
        <f aca="false">IF(ISERROR(VLOOKUP($A24,'liste reference'!$A$6:$B$1174,2,0)),IF(ISERROR(VLOOKUP($A24,'liste reference'!$B$6:$B$1174,1,0)),"",VLOOKUP($A24,'liste reference'!$B$6:$B$1174,1,0)),VLOOKUP($A24,'liste reference'!$A$6:$B$1174,2,0))</f>
        <v>Phormidium sp.</v>
      </c>
      <c r="E24" s="522" t="e">
        <f aca="false">IF(D24="",0,VLOOKUP(D24,D$22:D23,1,0))</f>
        <v>#N/A</v>
      </c>
      <c r="F24" s="523" t="n">
        <f aca="false">IF(AND(OR(A24="",A24="!!!!!!"),B24="",C24=""),"",IF(OR(AND(B24="",C24=""),ISERROR(C24+B24)),"!!!",($B24*$B$7+$C24*$C$7)/100))</f>
        <v>0.005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13</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Phormidium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6414</v>
      </c>
      <c r="R24" s="513" t="n">
        <f aca="false">IF(ISTEXT(H24),"",(B24*$B$7/100)+(C24*$C$7/100))</f>
        <v>0.005</v>
      </c>
      <c r="S24" s="514" t="n">
        <f aca="false">IF(OR(ISTEXT(H24),R24=0),"",IF(R24&lt;0.1,1,IF(R24&lt;1,2,IF(R24&lt;10,3,IF(R24&lt;50,4,IF(R24&gt;=50,5,""))))))</f>
        <v>1</v>
      </c>
      <c r="T24" s="514" t="n">
        <f aca="false">IF(ISERROR(S24*J24),0,S24*J24)</f>
        <v>13</v>
      </c>
      <c r="U24" s="514" t="n">
        <f aca="false">IF(ISERROR(S24*J24*K24),0,S24*J24*K24)</f>
        <v>26</v>
      </c>
      <c r="V24" s="530" t="n">
        <f aca="false">IF(ISERROR(S24*K24),0,S24*K24)</f>
        <v>2</v>
      </c>
      <c r="W24" s="531"/>
      <c r="X24" s="532"/>
      <c r="Y24" s="517" t="str">
        <f aca="false">IF(AND(ISNUMBER(F24),OR(A24="",A24="!!!!!!")),"!!!!!!",IF(A24="new.cod","NEWCOD",IF(AND((Z24=""),ISTEXT(A24),A24&lt;&gt;"!!!!!!"),A24,IF(Z24="","",INDEX('liste reference'!$A$6:$A$1174,Z24)))))</f>
        <v>PHOSPX</v>
      </c>
      <c r="Z24" s="499" t="n">
        <f aca="false">IF(ISERROR(MATCH(A24,'liste reference'!$A$6:$A$1174,0)),IF(ISERROR(MATCH(A24,'liste reference'!$B$6:$B$1174,0)),"",(MATCH(A24,'liste reference'!$B$6:$B$1174,0))),(MATCH(A24,'liste reference'!$A$6:$A$1174,0)))</f>
        <v>88</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0.01</v>
      </c>
      <c r="G83" s="452"/>
      <c r="H83" s="452"/>
      <c r="I83" s="452"/>
      <c r="J83" s="452"/>
      <c r="K83" s="452"/>
      <c r="L83" s="452"/>
      <c r="M83" s="514"/>
      <c r="N83" s="514"/>
      <c r="O83" s="514"/>
      <c r="P83" s="514"/>
      <c r="Q83" s="514"/>
      <c r="R83" s="514"/>
      <c r="S83" s="514"/>
      <c r="T83" s="514"/>
      <c r="U83" s="514"/>
      <c r="V83" s="514" t="n">
        <f aca="false">SUM(V23:V82)</f>
        <v>3</v>
      </c>
      <c r="W83" s="514"/>
      <c r="X83" s="552"/>
      <c r="Y83" s="552"/>
      <c r="Z83" s="553"/>
    </row>
    <row r="84" customFormat="false" ht="12.75" hidden="true" customHeight="false" outlineLevel="0" collapsed="false">
      <c r="A84" s="547" t="str">
        <f aca="false">A3</f>
        <v>Lampy</v>
      </c>
      <c r="B84" s="481" t="str">
        <f aca="false">C3</f>
        <v>Alzonne</v>
      </c>
      <c r="C84" s="554" t="str">
        <f aca="false">A4</f>
        <v>(Date)</v>
      </c>
      <c r="D84" s="555" t="n">
        <f aca="false">IF(OR(ISERROR(SUM($U$23:$U$82)/SUM($V$23:$V$82)),F7&lt;&gt;100),-1,SUM($U$23:$U$82)/SUM($V$23:$V$82))</f>
        <v>10.6666666666667</v>
      </c>
      <c r="E84" s="556" t="n">
        <f aca="false">O13</f>
        <v>2</v>
      </c>
      <c r="F84" s="481" t="n">
        <f aca="false">O14</f>
        <v>2</v>
      </c>
      <c r="G84" s="481" t="n">
        <f aca="false">O15</f>
        <v>1</v>
      </c>
      <c r="H84" s="481" t="n">
        <f aca="false">O16</f>
        <v>1</v>
      </c>
      <c r="I84" s="481" t="n">
        <f aca="false">O17</f>
        <v>0</v>
      </c>
      <c r="J84" s="557" t="n">
        <f aca="false">O8</f>
        <v>9.5</v>
      </c>
      <c r="K84" s="558" t="n">
        <f aca="false">O9</f>
        <v>3.5</v>
      </c>
      <c r="L84" s="559" t="n">
        <f aca="false">O10</f>
        <v>6</v>
      </c>
      <c r="M84" s="559" t="n">
        <f aca="false">O11</f>
        <v>13</v>
      </c>
      <c r="N84" s="558" t="n">
        <f aca="false">P8</f>
        <v>1.5</v>
      </c>
      <c r="O84" s="558" t="n">
        <f aca="false">P9</f>
        <v>0.5</v>
      </c>
      <c r="P84" s="559" t="n">
        <f aca="false">P10</f>
        <v>1</v>
      </c>
      <c r="Q84" s="559" t="n">
        <f aca="false">P11</f>
        <v>2</v>
      </c>
      <c r="R84" s="559" t="n">
        <f aca="false">F21</f>
        <v>0.01</v>
      </c>
      <c r="S84" s="559" t="n">
        <f aca="false">L11</f>
        <v>0</v>
      </c>
      <c r="T84" s="559" t="n">
        <f aca="false">L12</f>
        <v>2</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13</v>
      </c>
      <c r="U87" s="309"/>
      <c r="V87" s="309"/>
    </row>
    <row r="88" customFormat="false" ht="12.75" hidden="true" customHeight="false" outlineLevel="0" collapsed="false">
      <c r="C88" s="563"/>
      <c r="D88" s="563"/>
      <c r="E88" s="563"/>
      <c r="R88" s="309" t="s">
        <v>3445</v>
      </c>
      <c r="S88" s="309"/>
      <c r="T88" s="565" t="n">
        <f aca="false">VLOOKUP($T$91,($A$23:$U$82),21,FALSE())</f>
        <v>26</v>
      </c>
      <c r="U88" s="309"/>
      <c r="V88" s="309" t="n">
        <f aca="false">COUNTIF(V23:V82,T89)</f>
        <v>1</v>
      </c>
    </row>
    <row r="89" customFormat="false" ht="12.75" hidden="true" customHeight="false" outlineLevel="0" collapsed="false">
      <c r="C89" s="563"/>
      <c r="D89" s="563"/>
      <c r="E89" s="563"/>
      <c r="R89" s="309" t="s">
        <v>3446</v>
      </c>
      <c r="S89" s="309"/>
      <c r="T89" s="565" t="n">
        <f aca="false">MAX($V$23:$V$82)</f>
        <v>2</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6</v>
      </c>
      <c r="U90" s="309" t="n">
        <f aca="false">IF(ISERROR(T90),0,1)</f>
        <v>1</v>
      </c>
    </row>
    <row r="91" customFormat="false" ht="12.75" hidden="true" customHeight="false" outlineLevel="0" collapsed="false">
      <c r="C91" s="563"/>
      <c r="D91" s="563"/>
      <c r="E91" s="563"/>
      <c r="R91" s="514" t="s">
        <v>3449</v>
      </c>
      <c r="S91" s="514"/>
      <c r="T91" s="514" t="str">
        <f aca="false">INDEX('liste reference'!$A$6:$A$1174,$U$91)</f>
        <v>PHOSPX</v>
      </c>
      <c r="U91" s="309" t="n">
        <f aca="false">IF(ISERROR(MATCH($T$93,'liste reference'!$A$6:$A$1174,0)),MATCH($T$93,'liste reference'!$B$6:$B$1174,0),(MATCH($T$93,'liste reference'!$A$6:$A$1174,0)))</f>
        <v>88</v>
      </c>
      <c r="V91" s="567"/>
    </row>
    <row r="92" customFormat="false" ht="12.75" hidden="true" customHeight="false" outlineLevel="0" collapsed="false">
      <c r="C92" s="563"/>
      <c r="D92" s="563"/>
      <c r="E92" s="563"/>
      <c r="R92" s="309" t="s">
        <v>3450</v>
      </c>
      <c r="S92" s="309"/>
      <c r="T92" s="309" t="n">
        <f aca="false">MATCH(T89,$V$23:$V$82,0)</f>
        <v>2</v>
      </c>
      <c r="U92" s="309"/>
    </row>
    <row r="93" customFormat="false" ht="12.75" hidden="true" customHeight="false" outlineLevel="0" collapsed="false">
      <c r="C93" s="563"/>
      <c r="D93" s="563"/>
      <c r="E93" s="563"/>
      <c r="R93" s="514" t="s">
        <v>3451</v>
      </c>
      <c r="S93" s="309"/>
      <c r="T93" s="514" t="str">
        <f aca="false">INDEX($A$23:$A$82,$T$92)</f>
        <v>PHOSPX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3474</v>
      </c>
      <c r="G19" s="8"/>
      <c r="H19" s="605" t="s">
        <v>3474</v>
      </c>
      <c r="I19" s="606"/>
    </row>
    <row r="20" customFormat="false" ht="15" hidden="false" customHeight="false" outlineLevel="0" collapsed="false">
      <c r="A20" s="594" t="s">
        <v>2966</v>
      </c>
      <c r="B20" s="596" t="s">
        <v>2967</v>
      </c>
      <c r="C20" s="597"/>
      <c r="D20" s="598"/>
      <c r="F20" s="605" t="s">
        <v>3475</v>
      </c>
      <c r="G20" s="8"/>
      <c r="H20" s="605" t="s">
        <v>3475</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3458</v>
      </c>
      <c r="G25" s="8"/>
      <c r="H25" s="605" t="s">
        <v>3458</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3483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3461</v>
      </c>
    </row>
    <row r="38" customFormat="false" ht="15" hidden="false" customHeight="false" outlineLevel="0" collapsed="false">
      <c r="A38" s="594" t="s">
        <v>2978</v>
      </c>
      <c r="B38" s="596" t="s">
        <v>2979</v>
      </c>
      <c r="C38" s="597"/>
      <c r="D38" s="598"/>
      <c r="F38" s="613" t="s">
        <v>3485</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2016-04-14T14:09:20Z</dcterms:modified>
  <cp:revision>0</cp:revision>
  <dc:subject/>
  <dc:title>Feuille d'aide au calcul de l'IBMR</dc:title>
</cp:coreProperties>
</file>