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Orbieu à Ribaute" sheetId="5" state="visible" r:id="rId7"/>
    <sheet name="notice" sheetId="6" state="hidden"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localSheetId="4" name="_xlnm.Print_Area" vbProcedure="false">'Orbieu à Ribaute'!$A$1:$O$82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'Orbieu à Ribaute'!$H$1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'Orbieu à Ribaute'!$A$23:$J$84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<sst xmlns="http://schemas.openxmlformats.org/spreadsheetml/2006/main" count="7358" uniqueCount="2728">
  <si>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</si>
  <si>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</si>
  <si>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</si>
  <si>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</si>
  <si>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</si>
  <si>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</si>
  <si>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</si>
  <si>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</si>
  <si>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</si>
  <si>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</si>
  <si>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</si>
  <si>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</si>
  <si>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</si>
  <si>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</si>
  <si>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</si>
  <si>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</si>
  <si>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</si>
  <si>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</si>
  <si>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</si>
  <si>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</si>
  <si>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</si>
  <si>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</si>
  <si>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</si>
  <si>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</si>
  <si>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</si>
  <si>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</si>
  <si>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</si>
  <si>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</si>
  <si>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</si>
  <si>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</si>
  <si>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</si>
  <si>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</si>
  <si>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</si>
  <si>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</si>
  <si>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</si>
  <si>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</si>
  <si>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</si>
  <si>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</si>
  <si>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</si>
  <si>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</si>
  <si>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</si>
  <si>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</si>
  <si>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</si>
  <si>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</si>
  <si>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</si>
  <si>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</si>
  <si>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</si>
  <si>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</si>
  <si>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</si>
  <si>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</si>
  <si>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</si>
  <si>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</si>
  <si>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</si>
  <si>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</si>
  <si>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</si>
  <si>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</si>
  <si>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</si>
  <si>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</si>
  <si>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</si>
  <si>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</si>
  <si>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</si>
  <si>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</si>
  <si>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</si>
  <si>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</si>
  <si>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</si>
  <si>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</si>
  <si>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</si>
  <si>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</si>
  <si>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</si>
  <si>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</si>
  <si>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</si>
  <si>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</si>
  <si>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</si>
  <si>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</si>
  <si>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</si>
  <si>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</si>
  <si>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</si>
  <si>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</si>
  <si>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</si>
  <si>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</si>
  <si>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</si>
  <si>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</si>
  <si>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</si>
  <si>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</si>
  <si>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</si>
  <si>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</si>
  <si>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</si>
  <si>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</si>
  <si>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</si>
  <si>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</si>
  <si>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</si>
  <si>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</si>
  <si>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</si>
  <si>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</si>
  <si>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</si>
  <si>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</si>
  <si>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</si>
  <si>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</si>
  <si>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</si>
  <si>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</si>
  <si>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</si>
  <si>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</si>
  <si>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</si>
  <si>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</si>
  <si>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</si>
  <si>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</si>
  <si>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</si>
  <si>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</si>
  <si>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</si>
  <si>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</si>
  <si>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</si>
  <si>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</si>
  <si>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</si>
  <si>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</si>
  <si>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</si>
  <si>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</si>
  <si>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</si>
  <si>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</si>
  <si>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</si>
  <si>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</si>
  <si>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</si>
  <si>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</si>
  <si>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</si>
  <si>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</si>
  <si>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</si>
  <si>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</si>
  <si>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</si>
  <si>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</si>
  <si>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</si>
  <si>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</si>
  <si>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</si>
  <si>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</si>
  <si>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</si>
  <si>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</si>
  <si>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</si>
  <si>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</si>
  <si>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</si>
  <si>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</si>
  <si>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</si>
  <si>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</si>
  <si>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</si>
  <si>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</si>
  <si>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</si>
  <si>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</si>
  <si>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</si>
  <si>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</si>
  <si>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</si>
  <si>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</si>
  <si>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</si>
  <si>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</si>
  <si>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</si>
  <si>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</si>
  <si>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</si>
  <si>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</si>
  <si>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</si>
  <si>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</si>
  <si>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</si>
  <si>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</si>
  <si>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</si>
  <si>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</si>
  <si>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</si>
  <si>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</si>
  <si>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</si>
  <si>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</si>
  <si>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</si>
  <si>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</si>
  <si>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</si>
  <si>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</si>
  <si>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</si>
  <si>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</si>
  <si>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</si>
  <si>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</si>
  <si>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</si>
  <si>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</si>
  <si>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</si>
  <si>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</si>
  <si>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</si>
  <si>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</si>
  <si>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</si>
  <si>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</si>
  <si>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</si>
  <si>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</si>
  <si>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</si>
  <si>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</si>
  <si>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</si>
  <si>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</si>
  <si>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</si>
  <si>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</si>
  <si>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</si>
  <si>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</si>
  <si>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</si>
  <si>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</si>
  <si>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</si>
  <si>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</si>
  <si>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</si>
  <si>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</si>
  <si>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</si>
  <si>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</si>
  <si>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</si>
  <si>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</si>
  <si>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</si>
  <si>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</si>
  <si>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</si>
  <si>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</si>
  <si>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</si>
  <si>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</si>
  <si>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</si>
  <si>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</si>
  <si>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</si>
  <si>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</si>
  <si>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</si>
  <si>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</si>
  <si>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</si>
  <si>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</si>
  <si>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</si>
  <si>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</si>
  <si>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</si>
  <si>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</si>
  <si>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</si>
  <si>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</si>
  <si>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</si>
  <si>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</si>
  <si>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</si>
  <si>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</si>
  <si>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</si>
  <si>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</si>
  <si>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</si>
  <si>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</si>
  <si>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</si>
  <si>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</si>
  <si>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</si>
  <si>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</si>
  <si>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</si>
  <si>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</si>
  <si>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</si>
  <si>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</si>
  <si>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</si>
  <si>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</si>
  <si>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</si>
  <si>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</si>
  <si>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</si>
  <si>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</si>
  <si>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</si>
  <si>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</si>
  <si>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</si>
  <si>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</si>
  <si>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</si>
  <si>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</si>
  <si>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</si>
  <si>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</si>
  <si>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</si>
  <si>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</si>
  <si>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</si>
  <si>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</si>
  <si>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</si>
  <si>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</si>
  <si>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</si>
  <si>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</si>
  <si>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</si>
  <si>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</si>
  <si>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</si>
  <si>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</si>
  <si>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</si>
  <si>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</si>
  <si>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</si>
  <si>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</si>
  <si>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</si>
  <si>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</si>
  <si>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</si>
  <si>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</si>
  <si>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</si>
  <si>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</si>
  <si>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</si>
  <si>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</si>
  <si>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</si>
  <si>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</si>
  <si>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</si>
  <si>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</si>
  <si>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</si>
  <si>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</si>
  <si>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</si>
  <si>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</si>
  <si>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</si>
  <si>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</si>
  <si>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</si>
  <si>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</si>
  <si>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</si>
  <si>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</si>
  <si>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</si>
  <si>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</si>
  <si>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</si>
  <si>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</si>
  <si>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</si>
  <si>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</si>
  <si>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</si>
  <si>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</si>
  <si>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</si>
  <si>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</si>
  <si>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</si>
  <si>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</si>
  <si>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</si>
  <si>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</si>
  <si>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</si>
  <si>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</si>
  <si>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</si>
  <si>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</si>
  <si>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</si>
  <si>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</si>
  <si>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</si>
  <si>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</si>
  <si>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</si>
  <si>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</si>
  <si>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</si>
  <si>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</si>
  <si>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</si>
  <si>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</si>
  <si>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</si>
  <si>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</si>
  <si>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</si>
  <si>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</si>
  <si>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</si>
  <si>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</si>
  <si>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</si>
  <si>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</si>
  <si>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</si>
  <si>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</si>
  <si>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</si>
  <si>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</si>
  <si>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</si>
  <si>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</si>
  <si>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</si>
  <si>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</si>
  <si>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</si>
  <si>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</si>
  <si>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</si>
  <si>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</si>
  <si>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</si>
  <si>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</si>
  <si>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</si>
  <si>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</si>
  <si>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</si>
  <si>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</si>
  <si>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</si>
  <si>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</si>
  <si>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</si>
  <si>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</si>
  <si>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</si>
  <si>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</si>
  <si>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</si>
  <si>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</si>
  <si>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</si>
  <si>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</si>
  <si>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</si>
  <si>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</si>
  <si>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</si>
  <si>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</si>
  <si>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</si>
  <si>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</si>
  <si>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</si>
  <si>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</si>
  <si>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</si>
  <si>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</si>
  <si>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</si>
  <si>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</si>
  <si>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</si>
  <si>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</si>
  <si>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</si>
  <si>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</si>
  <si>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</si>
  <si>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</si>
  <si>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</si>
  <si>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</si>
  <si>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</si>
  <si>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</si>
  <si>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</si>
  <si>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</si>
  <si>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</si>
  <si>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</si>
  <si>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</si>
  <si>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</si>
  <si>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</si>
  <si>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</si>
  <si>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</si>
  <si>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</si>
  <si>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</si>
  <si>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</si>
  <si>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</si>
  <si>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</si>
  <si>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</si>
  <si>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</si>
  <si>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</si>
  <si>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</si>
  <si>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</si>
  <si>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</si>
  <si>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</si>
  <si>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</si>
  <si>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</si>
  <si>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</si>
  <si>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</si>
  <si>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</si>
  <si>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</si>
  <si>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</si>
  <si>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</si>
  <si>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</si>
  <si>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</si>
  <si>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</si>
  <si>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</si>
  <si>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</si>
  <si>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</si>
  <si>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</si>
  <si>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</si>
  <si>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</si>
  <si>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</si>
  <si>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</si>
  <si>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</si>
  <si>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</si>
  <si>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</si>
  <si>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</si>
  <si>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</si>
  <si>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</si>
  <si>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</si>
  <si>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</si>
  <si>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</si>
  <si>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</si>
  <si>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</si>
  <si>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</si>
  <si>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</si>
  <si>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</si>
  <si>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</si>
  <si>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</si>
  <si>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</si>
  <si>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</si>
  <si>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</si>
  <si>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</si>
  <si>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</si>
  <si>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</si>
  <si>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</si>
  <si>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</si>
  <si>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</si>
  <si>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</si>
  <si>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</si>
  <si>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</si>
  <si>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</si>
  <si>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</si>
  <si>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</si>
  <si>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</si>
  <si>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</si>
  <si>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</si>
  <si>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</si>
  <si>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</si>
  <si>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</si>
  <si>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</si>
  <si>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</si>
  <si>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</si>
  <si>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</si>
  <si>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</si>
  <si>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</si>
  <si>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</si>
  <si>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</si>
  <si>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</si>
  <si>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</si>
  <si>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</si>
  <si>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</si>
  <si>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</si>
  <si>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</si>
  <si>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</si>
  <si>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</si>
  <si>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</si>
  <si>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</si>
  <si>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</si>
  <si>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</si>
  <si>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</si>
  <si>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</si>
  <si>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</si>
  <si>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</si>
  <si>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</si>
  <si>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</si>
  <si>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</si>
  <si>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</si>
  <si>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</si>
  <si>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</si>
  <si>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</si>
  <si>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</si>
  <si>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</si>
  <si>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</si>
  <si>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</si>
  <si>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</si>
  <si>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</si>
  <si>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</si>
  <si>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</si>
  <si>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</si>
  <si>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</si>
  <si>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</si>
  <si>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</si>
  <si>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</si>
  <si>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</si>
  <si>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</si>
  <si>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</si>
  <si>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</si>
  <si>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</si>
  <si>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</si>
  <si>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</si>
  <si>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</si>
  <si>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</si>
  <si>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</si>
  <si>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</si>
  <si>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</si>
  <si>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</si>
  <si>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</si>
  <si>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</si>
  <si>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</si>
  <si>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</si>
  <si>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</si>
  <si>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</si>
  <si>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</si>
  <si>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</si>
  <si>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</si>
  <si>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</si>
  <si>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</si>
  <si>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</si>
  <si>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</si>
  <si>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</si>
  <si>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</si>
  <si>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</si>
  <si>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</si>
  <si>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</si>
  <si>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</si>
  <si>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</si>
  <si>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</si>
  <si>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</si>
  <si>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</si>
  <si>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</si>
  <si>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</si>
  <si>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</si>
  <si>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</si>
  <si>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</si>
  <si>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</si>
  <si>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</si>
  <si>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</si>
  <si>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</si>
  <si>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</si>
  <si>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</si>
  <si>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</si>
  <si>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</si>
  <si>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</si>
  <si>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</si>
  <si>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</si>
  <si>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</si>
  <si>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</si>
  <si>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</si>
  <si>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</si>
  <si>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</si>
  <si>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</si>
  <si>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</si>
  <si>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</si>
  <si>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</si>
  <si>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</si>
  <si>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</si>
  <si>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</si>
  <si>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</si>
  <si>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</si>
  <si>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</si>
  <si>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</si>
  <si>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</si>
  <si>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</si>
  <si>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</si>
  <si>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</si>
  <si>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</si>
  <si>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</si>
  <si>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</si>
  <si>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</si>
  <si>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</si>
  <si>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</si>
  <si>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</si>
  <si>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</si>
  <si>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</si>
  <si>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</si>
  <si>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</si>
  <si>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</si>
  <si>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</si>
  <si>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</si>
  <si>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</si>
  <si>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</si>
  <si>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</si>
  <si>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</si>
  <si>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</si>
  <si>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</si>
  <si>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</si>
  <si>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</si>
  <si>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</si>
  <si>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</si>
  <si>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</si>
  <si>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</si>
  <si>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</si>
  <si>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</si>
  <si>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</si>
  <si>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</si>
  <si>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</si>
  <si>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</si>
  <si>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</si>
  <si>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</si>
  <si>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</si>
  <si>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</si>
  <si>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</si>
  <si>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</si>
  <si>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</si>
  <si>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</si>
  <si>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</si>
  <si>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</si>
  <si>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</si>
  <si>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</si>
  <si>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</si>
  <si>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</si>
  <si>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</si>
  <si>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</si>
  <si>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</si>
  <si>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</si>
  <si>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</si>
  <si>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</si>
  <si>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</si>
  <si>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</si>
  <si>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</si>
  <si>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</si>
  <si>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</si>
  <si>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</si>
  <si>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</si>
  <si>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</si>
  <si>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</si>
  <si>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</si>
  <si>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</si>
  <si>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</si>
  <si>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</si>
  <si>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</si>
  <si>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</si>
  <si>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</si>
  <si>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</si>
  <si>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</si>
  <si>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</si>
  <si>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</si>
  <si>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</si>
  <si>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</si>
  <si>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</si>
  <si>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</si>
  <si>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</si>
  <si>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</si>
  <si>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</si>
  <si>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</si>
  <si>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</si>
  <si>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</si>
  <si>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</si>
  <si>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</si>
  <si>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</si>
  <si>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</si>
  <si>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</si>
  <si>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</si>
  <si>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</si>
  <si>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</si>
  <si>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</si>
  <si>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</si>
  <si>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</si>
  <si>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</si>
  <si>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</si>
  <si>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</si>
  <si>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</si>
  <si>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</si>
  <si>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</si>
  <si>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</si>
  <si>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</si>
  <si>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</si>
  <si>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</si>
  <si>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</si>
  <si>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</si>
  <si>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</si>
  <si>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</si>
  <si>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</si>
  <si>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</si>
  <si>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</si>
  <si>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</si>
  <si>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</si>
  <si>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</si>
  <si>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</si>
  <si>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</si>
  <si>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</si>
  <si>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</si>
  <si>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</si>
  <si>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</si>
  <si>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</si>
  <si>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</si>
  <si>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</si>
  <si>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</si>
  <si>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</si>
  <si>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</si>
  <si>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</si>
  <si>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</si>
  <si>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</si>
  <si>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</si>
  <si>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</si>
  <si>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</si>
  <si>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</si>
  <si>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</si>
  <si>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</si>
  <si>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</si>
  <si>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</si>
  <si>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</si>
  <si>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</si>
  <si>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</si>
  <si>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</si>
  <si>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</si>
  <si>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</si>
  <si>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</si>
  <si>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</si>
  <si>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</si>
  <si>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</si>
  <si>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</si>
  <si>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</si>
  <si>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</si>
  <si>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</si>
  <si>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</si>
  <si>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</si>
  <si>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</si>
  <si>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</si>
  <si>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</si>
  <si>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</si>
  <si>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</si>
  <si>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</si>
  <si>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</si>
  <si>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</si>
  <si>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</si>
  <si>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</si>
  <si>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</si>
  <si>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</si>
  <si>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</si>
  <si>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</si>
  <si>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</si>
  <si>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</si>
  <si>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</si>
  <si>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</si>
  <si>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</si>
  <si>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</si>
  <si>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</si>
  <si>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</si>
  <si>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</si>
  <si>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</si>
  <si>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</si>
  <si>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</si>
  <si>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</si>
  <si>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</si>
  <si>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</si>
  <si>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</si>
  <si>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</si>
  <si>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</si>
  <si>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</si>
  <si>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</si>
  <si>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</si>
  <si>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</si>
  <si>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</si>
  <si>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</si>
  <si>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</si>
  <si>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</si>
  <si>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</si>
  <si>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</si>
  <si>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</si>
  <si>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</si>
  <si>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</si>
  <si>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</si>
  <si>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</si>
  <si>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</si>
  <si>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</si>
  <si>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</si>
  <si>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</si>
  <si>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</si>
  <si>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</si>
  <si>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</si>
  <si>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</si>
  <si>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</si>
  <si>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</si>
  <si>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</si>
  <si>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</si>
  <si>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</si>
  <si>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</si>
  <si>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</si>
  <si>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</si>
  <si>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</si>
  <si>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</si>
  <si>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</si>
  <si>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</si>
  <si>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</si>
  <si>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</si>
  <si>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</si>
  <si>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</si>
  <si>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</si>
  <si>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</si>
  <si>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</si>
  <si>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</si>
  <si>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</si>
  <si>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</si>
  <si>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</si>
  <si>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</si>
  <si>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</si>
  <si>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</si>
  <si>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</si>
  <si>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</si>
  <si>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</si>
  <si>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</si>
  <si>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</si>
  <si>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</si>
  <si>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</si>
  <si>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</si>
  <si>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</si>
  <si>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</si>
  <si>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</si>
  <si>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</si>
  <si>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</si>
  <si>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</si>
  <si>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</si>
  <si>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</si>
  <si>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</si>
  <si>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</si>
  <si>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</si>
  <si>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</si>
  <si>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</si>
  <si>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</si>
  <si>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</si>
  <si>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</si>
  <si>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</si>
  <si>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</si>
  <si>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</si>
  <si>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</si>
  <si>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</si>
  <si>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</si>
  <si>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</si>
  <si>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</si>
  <si>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</si>
  <si>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</si>
  <si>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</si>
  <si>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</si>
  <si>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</si>
  <si>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</si>
  <si>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</si>
  <si>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</si>
  <si>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</si>
  <si>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</si>
  <si>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</si>
  <si>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</si>
  <si>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</si>
  <si>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</si>
  <si>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</si>
  <si>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</si>
  <si>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</si>
  <si>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</si>
  <si>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</si>
  <si>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</si>
  <si>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</si>
  <si>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</si>
  <si>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</si>
  <si>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</si>
  <si>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</si>
  <si>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</si>
  <si>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</si>
  <si>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</si>
  <si>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</si>
  <si>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</si>
  <si>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</si>
  <si>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</si>
  <si>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</si>
  <si>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</si>
  <si>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</si>
  <si>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</si>
  <si>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</si>
  <si>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</si>
  <si>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</si>
  <si>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</si>
  <si>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</si>
  <si>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</si>
  <si>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</si>
  <si>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</si>
  <si>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</si>
  <si>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</si>
  <si>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</si>
  <si>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</si>
  <si>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</si>
  <si>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</si>
  <si>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</si>
  <si>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</si>
  <si>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</si>
  <si>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</si>
  <si>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</si>
  <si>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</si>
  <si>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</si>
  <si>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</si>
  <si>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</si>
  <si>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</si>
  <si>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</si>
  <si>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</si>
  <si>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</si>
  <si>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</si>
  <si>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</si>
  <si>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</si>
  <si>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</si>
  <si>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</si>
  <si>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</si>
  <si>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</si>
  <si>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</si>
  <si>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</si>
  <si>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</si>
  <si>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</si>
  <si>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</si>
  <si>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</si>
  <si>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</si>
  <si>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</si>
  <si>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</si>
  <si>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</si>
  <si>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</si>
  <si>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</si>
  <si>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</si>
  <si>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</si>
  <si>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</si>
  <si>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</si>
  <si>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</si>
  <si>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</si>
  <si>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</si>
  <si>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</si>
  <si>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</si>
  <si>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</si>
  <si>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</si>
  <si>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</si>
  <si>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</si>
  <si>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</si>
  <si>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</si>
  <si>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</si>
  <si>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</si>
  <si>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</si>
  <si>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</si>
  <si>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</si>
  <si>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</si>
  <si>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</si>
  <si>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</si>
  <si>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</si>
  <si>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</si>
  <si>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</si>
  <si>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</si>
  <si>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</si>
  <si>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</si>
  <si>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</si>
  <si>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</si>
  <si>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</si>
  <si>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</si>
  <si>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</si>
  <si>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</si>
  <si>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</si>
  <si>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</si>
  <si>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</si>
  <si>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</si>
  <si>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</si>
  <si>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</si>
  <si>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</si>
  <si>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</si>
  <si>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</si>
  <si>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</si>
  <si>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</si>
  <si>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</si>
  <si>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</si>
  <si>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</si>
  <si>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</si>
  <si>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</si>
  <si>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</si>
  <si>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</si>
  <si>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</si>
  <si>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</si>
  <si>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</si>
  <si>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</si>
  <si>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</si>
  <si>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</si>
  <si>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</si>
  <si>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</si>
  <si>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</si>
  <si>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</si>
  <si>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</si>
  <si>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</si>
  <si>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</si>
  <si>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</si>
  <si>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</si>
  <si>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</si>
  <si>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</si>
  <si>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</si>
  <si>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</si>
  <si>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</si>
  <si>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</si>
  <si>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</si>
  <si>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</si>
  <si>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</si>
  <si>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</si>
  <si>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</si>
  <si>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</si>
  <si>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</si>
  <si>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</si>
  <si>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</si>
  <si>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</si>
  <si>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</si>
  <si>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</si>
  <si>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</si>
  <si>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</si>
  <si>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</si>
  <si>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</si>
  <si>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</si>
  <si>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</si>
  <si>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</si>
  <si>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</si>
  <si>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</si>
  <si>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</si>
  <si>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</si>
  <si>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</si>
  <si>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</si>
  <si>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</si>
  <si>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</si>
  <si>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</si>
  <si>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</si>
  <si>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</si>
  <si>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</si>
  <si>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</si>
  <si>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</si>
  <si>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</si>
  <si>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</si>
  <si>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</si>
  <si>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</si>
  <si>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</si>
  <si>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</si>
  <si>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</si>
  <si>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</si>
  <si>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</si>
  <si>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</si>
  <si>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</si>
  <si>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</si>
  <si>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</si>
  <si>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</si>
  <si>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</si>
  <si>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</si>
  <si>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</si>
  <si>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</si>
  <si>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</si>
  <si>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</si>
  <si>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</si>
  <si>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</si>
  <si>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</si>
  <si>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</si>
  <si>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</si>
  <si>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</si>
  <si>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</si>
  <si>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</si>
  <si>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</si>
  <si>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</si>
  <si>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</si>
  <si>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</si>
  <si>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</si>
  <si>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</si>
  <si>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</si>
  <si>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</si>
  <si>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</si>
  <si>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</si>
  <si>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</si>
  <si>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</si>
  <si>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</si>
  <si>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</si>
  <si>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</si>
  <si>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</si>
  <si>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</si>
  <si>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</si>
  <si>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</si>
  <si>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</si>
  <si>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</si>
  <si>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</si>
  <si>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</si>
  <si>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</si>
  <si>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</si>
  <si>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</si>
  <si>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</si>
  <si>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</si>
  <si>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</si>
  <si>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</si>
  <si>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</si>
  <si>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</si>
  <si>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</si>
  <si>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</si>
  <si>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</si>
  <si>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</si>
  <si>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</si>
  <si>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</si>
  <si>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</si>
  <si>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</si>
  <si>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</si>
  <si>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</si>
  <si>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</si>
  <si>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</si>
  <si>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</si>
  <si>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</si>
  <si>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</si>
  <si>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</si>
  <si>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</si>
  <si>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</si>
  <si>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</si>
  <si>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</si>
  <si>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</si>
  <si>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</si>
  <si>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</si>
  <si>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</si>
  <si>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</si>
  <si>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</si>
  <si>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</si>
  <si>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</si>
  <si>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</si>
  <si>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</si>
  <si>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</si>
  <si>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</si>
  <si>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</si>
  <si>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</si>
  <si>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</si>
  <si>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</si>
  <si>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</si>
  <si>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</si>
  <si>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</si>
  <si>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</si>
  <si>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</si>
  <si>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</si>
  <si>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</si>
  <si>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</si>
  <si>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</si>
  <si>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</si>
  <si>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</si>
  <si>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</si>
  <si>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</si>
  <si>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</si>
  <si>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</si>
  <si>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</si>
  <si>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</si>
  <si>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</si>
  <si>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</si>
  <si>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</si>
  <si>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</si>
  <si>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</si>
  <si>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</si>
  <si>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</si>
  <si>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</si>
  <si>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</si>
  <si>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</si>
  <si>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</si>
  <si>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</si>
  <si>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</si>
  <si>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</si>
  <si>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</si>
  <si>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</si>
  <si>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</si>
  <si>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</si>
  <si>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</si>
  <si>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</si>
  <si>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</si>
  <si>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</si>
  <si>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</si>
  <si>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</si>
  <si>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</si>
  <si>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</si>
  <si>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</si>
  <si>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</si>
  <si>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</si>
  <si>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</si>
  <si>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</si>
  <si>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</si>
  <si>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</si>
  <si>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</si>
  <si>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</si>
  <si>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</si>
  <si>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</si>
  <si>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</si>
  <si>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</si>
  <si>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</si>
  <si>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</si>
  <si>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</si>
  <si>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</si>
  <si>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</si>
  <si>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</si>
  <si>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</si>
  <si>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</si>
  <si>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</si>
  <si>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</si>
  <si>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</si>
  <si>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</si>
  <si>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</si>
  <si>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</si>
  <si>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</si>
  <si>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</si>
  <si>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</si>
  <si>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</si>
  <si>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</si>
  <si>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</si>
  <si>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</si>
  <si>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</si>
  <si>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</si>
  <si>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</si>
  <si>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</si>
  <si>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</si>
  <si>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</si>
  <si>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</si>
  <si>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</si>
  <si>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</si>
  <si>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</si>
  <si>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</si>
  <si>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</si>
  <si>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</si>
  <si>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</si>
  <si>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</si>
  <si>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</si>
  <si>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</si>
  <si>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</si>
  <si>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</si>
  <si>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</si>
  <si>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</si>
  <si>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</si>
  <si>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</si>
  <si>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</si>
  <si>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</si>
  <si>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</si>
  <si>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</si>
  <si>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</si>
  <si>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</si>
  <si>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</si>
  <si>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</si>
  <si>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</si>
  <si>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</si>
  <si>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</si>
  <si>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</si>
  <si>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</si>
  <si>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</si>
  <si>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</si>
  <si>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</si>
  <si>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</si>
  <si>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</si>
  <si>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</si>
  <si>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</si>
  <si>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</si>
  <si>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</si>
  <si>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</si>
  <si>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</si>
  <si>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</si>
  <si>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</si>
  <si>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</si>
  <si>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</si>
  <si>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</si>
  <si>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</si>
  <si>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</si>
  <si>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</si>
  <si>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</si>
  <si>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</si>
  <si>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</si>
  <si>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</si>
  <si>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</si>
  <si>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</si>
  <si>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</si>
  <si>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</si>
  <si>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</si>
  <si>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</si>
  <si>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</si>
  <si>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</si>
  <si>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</si>
  <si>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</si>
  <si>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</si>
  <si>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</si>
  <si>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</si>
  <si>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</si>
  <si>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</si>
  <si>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</si>
  <si>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</si>
  <si>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</si>
  <si>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</si>
  <si>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</si>
  <si>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</si>
  <si>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</si>
  <si>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</si>
  <si>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</si>
  <si>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</si>
  <si>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</si>
  <si>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</si>
  <si>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</si>
  <si>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</si>
  <si>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</si>
  <si>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</si>
  <si>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</si>
  <si>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</si>
  <si>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</si>
  <si>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</si>
  <si>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</si>
  <si>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</si>
  <si>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</si>
  <si>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</si>
  <si>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</si>
  <si>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</si>
  <si>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</si>
  <si>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</si>
  <si>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</si>
  <si>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</si>
  <si>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</si>
  <si>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</si>
  <si>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</si>
  <si>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</si>
  <si>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</si>
  <si>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</si>
  <si>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</si>
  <si>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</si>
  <si>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</si>
  <si>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</si>
  <si>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</si>
  <si>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</si>
  <si>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</si>
  <si>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</si>
  <si>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</si>
  <si>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</si>
  <si>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</si>
  <si>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</si>
  <si>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</si>
  <si>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</si>
  <si>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</si>
  <si>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</si>
  <si>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</si>
  <si>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</si>
  <si>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</si>
  <si>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</si>
  <si>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</si>
  <si>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</si>
  <si>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</si>
  <si>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</si>
  <si>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</si>
  <si>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</si>
  <si>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</si>
  <si>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</si>
  <si>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</si>
  <si>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</si>
  <si>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</si>
  <si>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</si>
  <si>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</si>
  <si>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</si>
  <si>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</si>
  <si>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</si>
  <si>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</si>
  <si>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</si>
  <si>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</si>
  <si>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</si>
  <si>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</si>
  <si>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</si>
  <si>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</si>
  <si>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</si>
  <si>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</si>
  <si>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</si>
  <si>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</si>
  <si>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</si>
  <si>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</si>
  <si>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</si>
  <si>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</si>
  <si>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</si>
  <si>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</si>
  <si>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</si>
  <si>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</si>
  <si>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</si>
  <si>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</si>
  <si>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</si>
  <si>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</si>
  <si>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</si>
  <si>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</si>
  <si>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</si>
  <si>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</si>
  <si>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</si>
  <si>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</si>
  <si>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</si>
  <si>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</si>
  <si>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</si>
  <si>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</si>
  <si>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</si>
  <si>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</si>
  <si>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</si>
  <si>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</si>
  <si>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</si>
  <si>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</si>
  <si>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</si>
  <si>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</si>
  <si>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</si>
  <si>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</si>
  <si>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</si>
  <si>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</si>
  <si>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</si>
  <si>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</si>
  <si>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</si>
  <si>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</si>
  <si>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</si>
  <si>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</si>
  <si>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</si>
  <si>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</si>
  <si>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</si>
  <si>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</si>
  <si>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</si>
  <si>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</si>
  <si>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</si>
  <si>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</si>
  <si>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</si>
  <si>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</si>
  <si>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</si>
  <si>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</si>
  <si>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</si>
  <si>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</si>
  <si>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</si>
  <si>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</si>
  <si>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</si>
  <si>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</si>
  <si>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</si>
  <si>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</si>
  <si>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</si>
  <si>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</si>
  <si>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</si>
  <si>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</si>
  <si>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</si>
  <si>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</si>
  <si>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</si>
  <si>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</si>
  <si>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</si>
  <si>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</si>
  <si>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</si>
  <si>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</si>
  <si>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</si>
  <si>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</si>
  <si>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</si>
  <si>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</si>
  <si>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</si>
  <si>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</si>
  <si>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</si>
  <si>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</si>
  <si>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</si>
  <si>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</si>
  <si>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</si>
  <si>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</si>
  <si>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</si>
  <si>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</si>
  <si>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</si>
  <si>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</si>
  <si>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</si>
  <si>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</si>
  <si>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</si>
  <si>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</si>
  <si>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</si>
  <si>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</si>
  <si>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</si>
  <si>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</si>
  <si>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</si>
  <si>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</si>
  <si>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</si>
  <si>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</si>
  <si>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</si>
  <si>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</si>
  <si>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</si>
  <si>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</si>
  <si>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</si>
  <si>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</si>
  <si>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</si>
  <si>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</si>
  <si>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</si>
  <si>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</si>
  <si>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</si>
  <si>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</si>
  <si>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</si>
  <si>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</si>
  <si>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</si>
  <si>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</si>
  <si>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</si>
  <si>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</si>
  <si>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</si>
  <si>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</si>
  <si>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</si>
  <si>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</si>
  <si>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</si>
  <si>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</si>
  <si>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</si>
  <si>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</si>
  <si>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</si>
  <si>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</si>
  <si>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</si>
  <si>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</si>
  <si>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</si>
  <si>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</si>
  <si>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</si>
  <si>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</si>
  <si>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</si>
  <si>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</si>
  <si>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</si>
  <si>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</si>
  <si>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</si>
  <si>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</si>
  <si>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</si>
  <si>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</si>
  <si>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</si>
  <si>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</si>
  <si>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</si>
  <si>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</si>
  <si>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</si>
  <si>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</si>
  <si>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</si>
  <si>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</si>
  <si>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</si>
  <si>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</si>
  <si>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</si>
  <si>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</si>
  <si>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</si>
  <si>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</si>
  <si>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</si>
  <si>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</si>
  <si>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</si>
  <si>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</si>
  <si>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</si>
  <si>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</si>
  <si>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</si>
  <si>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</si>
  <si>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</si>
  <si>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</si>
  <si>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</si>
  <si>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</si>
  <si>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</si>
  <si>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</si>
  <si>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</si>
  <si>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</si>
  <si>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</si>
  <si>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</si>
  <si>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</si>
  <si>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</si>
  <si>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</si>
  <si>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</si>
  <si>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</si>
  <si>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</si>
  <si>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</si>
  <si>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</si>
  <si>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</si>
  <si>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</si>
  <si>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</si>
  <si>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</si>
  <si>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</si>
  <si>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</si>
  <si>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</si>
  <si>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</si>
  <si>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</si>
  <si>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</si>
  <si>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</si>
  <si>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</si>
  <si>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</si>
  <si>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</si>
  <si>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</si>
  <si>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</si>
  <si>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</si>
  <si>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</si>
  <si>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</si>
  <si>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</si>
  <si>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</si>
  <si>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</si>
  <si>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</si>
  <si>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</si>
  <si>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</si>
  <si>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</si>
  <si>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</si>
  <si>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</si>
  <si>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</si>
  <si>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</si>
  <si>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</si>
  <si>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</si>
  <si>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</si>
  <si>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</si>
  <si>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</si>
  <si>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</si>
  <si>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</si>
  <si>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</si>
  <si>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</si>
  <si>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</si>
  <si>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</si>
  <si>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</si>
  <si>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</si>
  <si>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</si>
  <si>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</si>
  <si>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</si>
  <si>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</si>
  <si>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</si>
  <si>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</si>
  <si>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</si>
  <si>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</si>
  <si>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</si>
  <si>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</si>
  <si>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</si>
  <si>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</si>
  <si>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</si>
  <si>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</si>
  <si>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</si>
  <si>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</si>
  <si>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</si>
  <si>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</si>
  <si>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</si>
  <si>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</si>
  <si>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</si>
  <si>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</si>
  <si>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</si>
  <si>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</si>
  <si>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</si>
  <si>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</si>
  <si>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</si>
  <si>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</si>
  <si>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</si>
  <si>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</si>
  <si>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</si>
  <si>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</si>
  <si>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</si>
  <si>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</si>
  <si>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</si>
  <si>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</si>
  <si>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</si>
  <si>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</si>
  <si>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</si>
  <si>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</si>
  <si>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</si>
  <si>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</si>
  <si>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</si>
  <si>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</si>
  <si>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</si>
  <si>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</si>
  <si>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</si>
  <si>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</si>
  <si>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</si>
  <si>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</si>
  <si>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</si>
  <si>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</si>
  <si>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</si>
  <si>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</si>
  <si>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</si>
  <si>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</si>
  <si>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</si>
  <si>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</si>
  <si>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</si>
  <si>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</si>
  <si>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</si>
  <si>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</si>
  <si>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</si>
  <si>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</si>
  <si>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</si>
  <si>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</si>
  <si>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</si>
  <si>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</si>
  <si>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</si>
  <si>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</si>
  <si>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</si>
  <si>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</si>
  <si>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</si>
  <si>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</si>
  <si>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</si>
  <si>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</si>
  <si>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</si>
  <si>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</si>
  <si>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</si>
  <si>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</si>
  <si>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</si>
  <si>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</si>
  <si>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</si>
  <si>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</si>
  <si>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</si>
  <si>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</si>
  <si>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</si>
  <si>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</si>
  <si>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</si>
  <si>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</si>
  <si>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</si>
  <si>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</si>
  <si>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</si>
  <si>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</si>
  <si>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</si>
  <si>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</si>
  <si>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</si>
  <si>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</si>
  <si>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</si>
  <si>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</si>
  <si>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</si>
  <si>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</si>
  <si>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</si>
  <si>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</si>
  <si>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</si>
  <si>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</si>
  <si>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</si>
  <si>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</si>
  <si>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</si>
  <si>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</si>
  <si>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</si>
  <si>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</si>
  <si>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</si>
  <si>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</si>
  <si>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</si>
  <si>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</si>
  <si>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</si>
  <si>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</si>
  <si>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</si>
  <si>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</si>
  <si>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</si>
  <si>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</si>
  <si>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</si>
  <si>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</si>
  <si>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</si>
  <si>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</si>
  <si>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</si>
  <si>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</si>
  <si>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</si>
  <si>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</si>
  <si>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</si>
  <si>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</si>
  <si>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</si>
  <si>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</si>
  <si>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</si>
  <si>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</si>
  <si>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</si>
  <si>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</si>
  <si>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</si>
  <si>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</si>
  <si>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</si>
  <si>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</si>
  <si>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</si>
  <si>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</si>
  <si>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</si>
  <si>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</si>
  <si>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</si>
  <si>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</si>
  <si>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</si>
  <si>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</si>
  <si>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</si>
  <si>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</si>
  <si>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</si>
  <si>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</si>
  <si>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</si>
  <si>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</si>
  <si>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</si>
  <si>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</si>
  <si>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</si>
  <si>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</si>
  <si>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</si>
  <si>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</si>
  <si>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</si>
  <si>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</si>
  <si>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</si>
  <si>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</si>
  <si>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</si>
  <si>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</si>
  <si>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</si>
  <si>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</si>
  <si>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</si>
  <si>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</si>
  <si>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</si>
  <si>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</si>
  <si>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</si>
  <si>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</si>
  <si>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</si>
  <si>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</si>
  <si>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</si>
  <si>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</si>
  <si>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</si>
  <si>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</si>
  <si>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</si>
  <si>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</si>
  <si>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</si>
  <si>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</si>
  <si>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</si>
  <si>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</si>
  <si>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</si>
  <si>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</si>
  <si>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</si>
  <si>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</si>
  <si>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</si>
  <si>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</si>
  <si>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</si>
  <si>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</si>
  <si>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</si>
  <si>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</si>
  <si>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</si>
  <si>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</si>
  <si>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</si>
  <si>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</si>
  <si>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</si>
  <si>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</si>
  <si>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</si>
  <si>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</si>
  <si>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</si>
  <si>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</si>
  <si>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</si>
  <si>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</si>
  <si>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</si>
  <si>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</si>
  <si>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</si>
  <si>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</si>
  <si>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</si>
  <si>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</si>
  <si>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</si>
  <si>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</si>
  <si>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</si>
  <si>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</si>
  <si>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</si>
  <si>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</si>
  <si>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</si>
  <si>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</si>
  <si>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</si>
  <si>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</si>
  <si>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</si>
  <si>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</si>
  <si>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</si>
  <si>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</si>
  <si>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</si>
  <si>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</si>
  <si>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</si>
  <si>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</si>
  <si>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</si>
  <si>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</si>
  <si>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</si>
  <si>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</si>
  <si>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</si>
  <si>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</si>
  <si>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</si>
  <si>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</si>
  <si>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</si>
  <si>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</si>
  <si>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</si>
  <si>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</si>
  <si>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</si>
  <si>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</si>
  <si>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</si>
  <si>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</si>
  <si>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</si>
  <si>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</si>
  <si>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</si>
  <si>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</si>
  <si>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</si>
  <si>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</si>
  <si>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</si>
  <si>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</si>
  <si>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</si>
  <si>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</si>
  <si>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</si>
  <si>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</si>
  <si>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</si>
  <si>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</si>
  <si>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</si>
  <si>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</si>
  <si>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</si>
  <si>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</si>
  <si>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</si>
  <si>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</si>
  <si>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</si>
  <si>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</si>
  <si>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</si>
  <si>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</si>
  <si>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</si>
  <si>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</si>
  <si>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</si>
  <si>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</si>
  <si>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</si>
  <si>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</si>
  <si>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</si>
  <si>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</si>
  <si>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</si>
  <si>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</si>
  <si>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</si>
  <si>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</si>
  <si>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</si>
  <si>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</si>
  <si>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</si>
  <si>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</si>
  <si>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</si>
  <si>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</si>
  <si>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</si>
  <si>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</si>
  <si>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</si>
  <si>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</si>
  <si>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</si>
  <si>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</si>
  <si>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</si>
  <si>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</si>
  <si>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</si>
  <si>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</si>
  <si>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</si>
  <si>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</si>
  <si>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</si>
  <si>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</si>
  <si>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</si>
  <si>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</si>
  <si>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</si>
  <si>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</si>
  <si>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</si>
  <si>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</si>
  <si>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</si>
  <si>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</si>
  <si>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</si>
  <si>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</si>
  <si>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</si>
  <si>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</si>
  <si>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</si>
  <si>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</si>
  <si>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</si>
  <si>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</si>
  <si>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</si>
  <si>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</si>
  <si>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</si>
  <si>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</si>
  <si>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</si>
  <si>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</si>
  <si>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</si>
  <si>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</si>
  <si>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</si>
  <si>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</si>
  <si>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</si>
  <si>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</si>
  <si>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</si>
  <si>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</si>
  <si>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</si>
  <si>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</si>
  <si>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</si>
  <si>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</si>
  <si>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</si>
  <si>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</si>
  <si>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</si>
  <si>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</si>
  <si>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</si>
  <si>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</si>
  <si>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</si>
  <si>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</si>
  <si>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</si>
  <si>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</si>
  <si>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</si>
  <si>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</si>
  <si>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</si>
  <si>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</si>
  <si>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</si>
  <si>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</si>
  <si>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</si>
  <si>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</si>
  <si>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</si>
  <si>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</si>
  <si>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</si>
  <si>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</si>
  <si>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</si>
  <si>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</si>
  <si>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</si>
  <si>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</si>
  <si>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</si>
  <si>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</si>
  <si>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</si>
  <si>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</si>
  <si>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</si>
  <si>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</si>
  <si>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</si>
  <si>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</si>
  <si>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</si>
  <si>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</si>
  <si>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</si>
  <si>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</si>
  <si>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</si>
  <si>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</si>
  <si>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</si>
  <si>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</si>
  <si>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</si>
  <si>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</si>
  <si>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</si>
  <si>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</si>
  <si>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</si>
  <si>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</si>
  <si>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</si>
  <si>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</si>
  <si>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</si>
  <si>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</si>
  <si>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</si>
  <si>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</si>
  <si>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</si>
  <si>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</si>
  <si>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</si>
  <si>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</si>
  <si>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</si>
  <si>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</si>
  <si>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</si>
  <si>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</si>
  <si>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</si>
  <si>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</si>
  <si>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</si>
  <si>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</si>
  <si>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</si>
  <si>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</si>
  <si>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</si>
  <si>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</si>
  <si>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</si>
  <si>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</si>
  <si>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</si>
  <si>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</si>
  <si>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</si>
  <si>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</si>
  <si>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</si>
  <si>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</si>
  <si>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</si>
  <si>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</si>
  <si>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</si>
  <si>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</si>
  <si>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</si>
  <si>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</si>
  <si>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</si>
  <si>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</si>
  <si>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</si>
  <si>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</si>
  <si>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</si>
  <si>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</si>
  <si>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</si>
  <si>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</si>
  <si>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</si>
  <si>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</si>
  <si>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</si>
  <si>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</si>
  <si>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</si>
  <si>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</si>
  <si>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</si>
  <si>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</si>
  <si>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</si>
  <si>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</si>
  <si>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</si>
  <si>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</si>
  <si>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</si>
  <si>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</si>
  <si>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</si>
  <si>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</si>
  <si>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</si>
  <si>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</si>
  <si>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</si>
  <si>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</si>
  <si>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</si>
  <si>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</si>
  <si>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</si>
  <si>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</si>
  <si>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</si>
  <si>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</si>
  <si>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</si>
  <si>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</si>
  <si>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</si>
  <si>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</si>
  <si>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</si>
  <si>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</si>
  <si>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</si>
  <si>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</si>
  <si>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</si>
  <si>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</si>
  <si>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</si>
  <si>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</si>
  <si>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</si>
  <si>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</si>
  <si>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</si>
  <si>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</si>
  <si>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</si>
  <si>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</si>
  <si>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</si>
  <si>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</si>
  <si>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</si>
  <si>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</si>
  <si>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</si>
  <si>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</si>
  <si>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</si>
  <si>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</si>
  <si>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</si>
  <si>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</si>
  <si>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</si>
  <si>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</si>
  <si>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</si>
  <si>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</si>
  <si>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</si>
  <si>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</si>
  <si>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</si>
  <si>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</si>
  <si>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</si>
  <si>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</si>
  <si>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</si>
  <si>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</si>
  <si>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</si>
  <si>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</si>
  <si>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</si>
  <si>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</si>
  <si>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</si>
  <si>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</si>
  <si>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</si>
  <si>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</si>
  <si>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</si>
  <si>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</si>
  <si>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</si>
  <si>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</si>
  <si>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</si>
  <si>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</si>
  <si>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</si>
  <si>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</si>
  <si>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</si>
  <si>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</si>
  <si>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</si>
  <si>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</si>
  <si>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</si>
  <si>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</si>
  <si>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</si>
  <si>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</si>
  <si>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</si>
  <si>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</si>
  <si>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</si>
  <si>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</si>
  <si>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</si>
  <si>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</si>
  <si>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</si>
  <si>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</si>
  <si>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</si>
  <si>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</si>
  <si>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</si>
  <si>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</si>
  <si>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</si>
  <si>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</si>
  <si>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</si>
  <si>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</si>
  <si>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</si>
  <si>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</si>
  <si>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</si>
  <si>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</si>
  <si>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</si>
  <si>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</si>
  <si>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</si>
  <si>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</si>
  <si>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</si>
  <si>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</si>
  <si>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</si>
  <si>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</si>
  <si>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</si>
  <si>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</si>
  <si>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</si>
  <si>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</si>
  <si>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</si>
  <si>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</si>
  <si>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</si>
  <si>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</si>
  <si>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</si>
  <si>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</si>
  <si>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</si>
  <si>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</si>
  <si>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</si>
  <si>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</si>
  <si>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</si>
  <si>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</si>
  <si>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</si>
  <si>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</si>
  <si>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</si>
  <si>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</si>
  <si>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</si>
  <si>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</si>
  <si>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</si>
  <si>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</si>
  <si>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</si>
  <si>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</si>
  <si>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</si>
  <si>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</si>
  <si>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</si>
  <si>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</si>
  <si>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</si>
  <si>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</si>
  <si>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</si>
  <si>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</si>
  <si>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</si>
  <si>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</si>
  <si>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</si>
  <si>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</si>
  <si>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</si>
  <si>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</si>
  <si>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</si>
  <si>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</si>
  <si>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</si>
  <si>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</si>
  <si>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</si>
  <si>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</si>
  <si>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</si>
  <si>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</si>
  <si>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</si>
  <si>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</si>
  <si>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</si>
  <si>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</si>
  <si>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</si>
  <si>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</si>
  <si>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</si>
  <si>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</si>
  <si>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</si>
  <si>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</si>
  <si>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</si>
  <si>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</si>
  <si>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</si>
  <si>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</si>
  <si>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</si>
  <si>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</si>
  <si>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</si>
  <si>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</si>
  <si>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</si>
  <si>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</si>
  <si>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</si>
  <si>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</si>
  <si>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</si>
  <si>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</si>
  <si>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</si>
  <si>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</si>
  <si>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</si>
  <si>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</si>
  <si>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</si>
  <si>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</si>
  <si>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</si>
  <si>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</si>
  <si>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</si>
  <si>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</si>
  <si>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</si>
  <si>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</si>
  <si>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</si>
  <si>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</si>
  <si>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</si>
  <si>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</si>
  <si>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</si>
  <si>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</si>
  <si>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</si>
  <si>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</si>
  <si>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</si>
  <si>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</si>
  <si>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</si>
  <si>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</si>
  <si>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</si>
  <si>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</si>
  <si>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</si>
  <si>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</si>
  <si>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</si>
  <si>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</si>
  <si>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</si>
  <si>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</si>
  <si>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</si>
  <si>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</si>
  <si>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</si>
  <si>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</si>
  <si>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</si>
  <si>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</si>
  <si>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</si>
  <si>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</si>
  <si>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</si>
  <si>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</si>
  <si>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</si>
  <si>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</si>
  <si>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</si>
  <si>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</si>
  <si>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</si>
  <si>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</si>
  <si>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</si>
  <si>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</si>
  <si>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</si>
  <si>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</si>
  <si>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</si>
  <si>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</si>
  <si>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</si>
  <si>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</si>
  <si>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</si>
  <si>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</si>
  <si>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</si>
  <si>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</si>
  <si>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</si>
  <si>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</si>
  <si>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</si>
  <si>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</si>
  <si>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</si>
  <si>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</si>
  <si>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</si>
  <si>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</si>
  <si>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</si>
  <si>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</si>
  <si>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</si>
  <si>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</si>
  <si>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</si>
  <si>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</si>
  <si>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</si>
  <si>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</si>
  <si>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</si>
  <si>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</si>
  <si>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</si>
  <si>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</si>
  <si>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</si>
  <si>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</si>
  <si>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</si>
  <si>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</si>
  <si>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</si>
  <si>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</si>
  <si>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</si>
  <si>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</si>
  <si>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</si>
  <si>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</si>
  <si>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</si>
  <si>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</si>
  <si>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</si>
  <si>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</si>
  <si>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</si>
  <si>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</si>
  <si>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</si>
  <si>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</si>
  <si>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</si>
  <si>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</si>
  <si>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</si>
  <si>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</si>
  <si>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</si>
  <si>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</si>
  <si>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</si>
  <si>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</si>
  <si>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</si>
  <si>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</si>
  <si>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</si>
  <si>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</si>
  <si>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</si>
  <si>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</si>
  <si>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</si>
  <si>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</si>
  <si>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</si>
  <si>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</si>
  <si>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</si>
  <si>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</si>
  <si>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</si>
  <si>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</si>
  <si>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</si>
  <si>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</si>
  <si>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</si>
  <si>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</si>
  <si>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</si>
  <si>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</si>
  <si>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</si>
  <si>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</si>
  <si>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</si>
  <si>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</si>
  <si>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</si>
  <si>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</si>
  <si>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</si>
  <si>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</si>
  <si>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</si>
  <si>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</si>
  <si>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</si>
  <si>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</si>
  <si>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</si>
  <si>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</si>
  <si>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</si>
  <si>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</si>
  <si>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</si>
  <si>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</si>
  <si>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</si>
  <si>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</si>
  <si>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</si>
  <si>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</si>
  <si>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</si>
  <si>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</si>
  <si>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</si>
  <si>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</si>
  <si>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</si>
  <si>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</si>
  <si>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</si>
  <si>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</si>
  <si>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</si>
  <si>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</si>
  <si>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</si>
  <si>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</si>
  <si>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</si>
  <si>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</si>
  <si>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</si>
  <si>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</si>
  <si>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</si>
  <si>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</si>
  <si>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</si>
  <si>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</si>
  <si>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</si>
  <si>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</si>
  <si>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</si>
  <si>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</si>
  <si>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</si>
  <si>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</si>
  <si>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</si>
  <si>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</si>
  <si>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</si>
  <si>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</si>
  <si>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</si>
  <si>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</si>
  <si>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</si>
  <si>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</si>
  <si>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</si>
  <si>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</si>
  <si>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</si>
  <si>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</si>
  <si>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</si>
  <si>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</si>
  <si>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</si>
  <si>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</si>
  <si>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</si>
  <si>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</si>
  <si>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</si>
  <si>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</si>
  <si>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</si>
  <si>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</si>
  <si>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</si>
  <si>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</si>
  <si>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</si>
  <si>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</si>
  <si>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</si>
  <si>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</si>
  <si>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</si>
  <si>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</si>
  <si>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</si>
  <si>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</si>
  <si>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</si>
  <si>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</si>
  <si>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</si>
  <si>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</si>
  <si>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</si>
  <si>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</si>
  <si>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</si>
  <si>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</si>
  <si>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</si>
  <si>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</si>
  <si>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</si>
  <si>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</si>
  <si>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</si>
  <si>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</si>
  <si>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</si>
  <si>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</si>
  <si>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</si>
  <si>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</si>
  <si>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</si>
  <si>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</si>
  <si>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</si>
  <si>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</si>
  <si>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</si>
  <si>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</si>
  <si>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</si>
  <si>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</si>
  <si>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</si>
  <si>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</si>
  <si>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</si>
  <si>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</si>
  <si>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</si>
  <si>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</si>
  <si>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</si>
  <si>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</si>
  <si>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</si>
  <si>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</si>
  <si>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</si>
  <si>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</si>
  <si>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</si>
  <si>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</si>
  <si>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</si>
  <si>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</si>
  <si>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</si>
  <si>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</si>
  <si>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</si>
  <si>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</si>
  <si>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</si>
  <si>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</si>
  <si>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</si>
  <si>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</si>
  <si>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</si>
  <si>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</si>
  <si>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</si>
  <si>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</si>
  <si>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</si>
  <si>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</si>
  <si>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</si>
  <si>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</si>
  <si>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</si>
  <si>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</si>
  <si>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</si>
  <si>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</si>
  <si>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</si>
  <si>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</si>
  <si>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</si>
  <si>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</si>
  <si>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</si>
  <si>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</si>
  <si>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</si>
  <si>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</si>
  <si>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</si>
  <si>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</si>
  <si>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</si>
  <si>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</si>
  <si>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</si>
  <si>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</si>
  <si>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</si>
  <si>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</si>
  <si>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</si>
  <si>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</si>
  <si>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</si>
  <si>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</si>
  <si>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</si>
  <si>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</si>
  <si>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</si>
  <si>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</si>
  <si>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</si>
  <si>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</si>
  <si>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</si>
  <si>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</si>
  <si>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</si>
  <si>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</si>
  <si>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</si>
  <si>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</si>
  <si>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</si>
  <si>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</si>
  <si>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</si>
  <si>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</si>
  <si>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</si>
  <si>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</si>
  <si>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</si>
  <si>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</si>
  <si>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</si>
  <si>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</si>
  <si>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</si>
  <si>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</si>
  <si>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</si>
  <si>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</si>
  <si>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</si>
  <si>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</si>
  <si>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</si>
  <si>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</si>
  <si>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</si>
  <si>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</si>
  <si>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</si>
  <si>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</si>
  <si>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</si>
  <si>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</si>
  <si>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</si>
  <si>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</si>
  <si>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</si>
  <si>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</si>
  <si>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</si>
  <si>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</si>
  <si>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</si>
  <si>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</si>
  <si>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</si>
  <si>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</si>
  <si>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</si>
  <si>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</si>
  <si>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</si>
  <si>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</si>
  <si>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</si>
  <si>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</si>
  <si>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</si>
  <si>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</si>
  <si>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</si>
  <si>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</si>
  <si>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</si>
  <si>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</si>
  <si>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</si>
  <si>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</si>
  <si>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</si>
  <si>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</si>
  <si>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</si>
  <si>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</si>
  <si>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</si>
  <si>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</si>
  <si>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</si>
  <si>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</si>
  <si>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</si>
  <si>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</si>
  <si>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</si>
  <si>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</si>
  <si>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</si>
  <si>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</si>
  <si>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</si>
  <si>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</si>
  <si>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</si>
  <si>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</si>
  <si>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</si>
  <si>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</si>
  <si>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</si>
  <si>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</si>
  <si>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</si>
  <si>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</si>
  <si>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</si>
  <si>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</si>
  <si>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</si>
  <si>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</si>
  <si>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</si>
  <si>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</si>
  <si>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</si>
  <si>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</si>
  <si>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</si>
  <si>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</si>
  <si>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</si>
  <si>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</si>
  <si>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</si>
  <si>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</si>
  <si>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</si>
  <si>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</si>
  <si>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</si>
  <si>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</si>
  <si>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</si>
  <si>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</si>
  <si>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</si>
  <si>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</si>
  <si>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</si>
  <si>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</si>
  <si>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</si>
  <si>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</si>
  <si>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</si>
  <si>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</si>
  <si>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</si>
  <si>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</si>
  <si>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</si>
  <si>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</si>
  <si>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</si>
  <si>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</si>
  <si>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</si>
  <si>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</si>
  <si>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</si>
  <si>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</si>
  <si>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ORBIEU</t>
  </si>
  <si>
    <t xml:space="preserve">Ribaute</t>
  </si>
  <si>
    <t xml:space="preserve">06179800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</si>
  <si>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</si>
  <si>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</si>
  <si>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</si>
  <si>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</si>
  <si>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</si>
  <si>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</si>
  <si>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</si>
  <si>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</si>
  <si>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</si>
  <si>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</si>
  <si>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</si>
  <si>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</si>
  <si>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</si>
  <si>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</si>
  <si>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</si>
  <si>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</si>
  <si>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</si>
  <si>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</si>
  <si>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</si>
  <si>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</si>
  <si>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</si>
  <si>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</si>
  <si>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</si>
  <si>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</si>
  <si>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</si>
  <si>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</si>
  <si>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</si>
  <si>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</si>
  <si>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</si>
  <si>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</si>
  <si>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</si>
  <si>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</si>
  <si>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</si>
  <si>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</si>
  <si>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</si>
  <si>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</si>
  <si>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</si>
  <si>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</si>
  <si>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</si>
  <si>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</si>
  <si>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</si>
  <si>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</si>
  <si>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</si>
  <si>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</si>
  <si>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</si>
  <si>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</si>
  <si>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</si>
  <si>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</si>
  <si>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</si>
  <si>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(11,1172 %)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</si>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</sst>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13" borderId="55" xfId="0" applyFont="true" applyBorder="true" applyAlignment="true" applyProtection="true">
      <alignment horizontal="left" vertical="top" textRotation="0" wrapText="false" indent="0" shrinkToFit="false"/>
      <protection locked="true" hidden="true"/>
    </xf>
    <xf numFmtId="172" fontId="20" fillId="13"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69"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70" fillId="13" borderId="68" xfId="0" applyFont="true" applyBorder="true" applyAlignment="true" applyProtection="true">
      <alignment horizontal="center" vertical="top" textRotation="0" wrapText="false" indent="0" shrinkToFit="false"/>
      <protection locked="true" hidden="true"/>
    </xf>
    <xf numFmtId="164" fontId="71" fillId="11" borderId="57" xfId="0" applyFont="true" applyBorder="true" applyAlignment="true" applyProtection="true">
      <alignment horizontal="center" vertical="top" textRotation="0" wrapText="false" indent="0" shrinkToFit="false"/>
      <protection locked="true" hidden="true"/>
    </xf>
    <xf numFmtId="164" fontId="72"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3"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4" fillId="12" borderId="32" xfId="0" applyFont="true" applyBorder="true" applyAlignment="true" applyProtection="true">
      <alignment horizontal="left" vertical="top" textRotation="0" wrapText="false" indent="0" shrinkToFit="false"/>
      <protection locked="true" hidden="true"/>
    </xf>
    <xf numFmtId="164" fontId="75" fillId="12" borderId="33" xfId="0" applyFont="true" applyBorder="true" applyAlignment="true" applyProtection="true">
      <alignment horizontal="left" vertical="top" textRotation="0" wrapText="false" indent="0" shrinkToFit="false"/>
      <protection locked="true" hidden="true"/>
    </xf>
    <xf numFmtId="164" fontId="75" fillId="12" borderId="69" xfId="0" applyFont="true" applyBorder="true" applyAlignment="true" applyProtection="true">
      <alignment horizontal="left" vertical="top" textRotation="0" wrapText="false" indent="0" shrinkToFit="false"/>
      <protection locked="true" hidden="true"/>
    </xf>
    <xf numFmtId="164" fontId="75"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6" fillId="9" borderId="58" xfId="0" applyFont="true" applyBorder="true" applyAlignment="false" applyProtection="true">
      <alignment horizontal="general" vertical="bottom" textRotation="0" wrapText="false" indent="0" shrinkToFit="false"/>
      <protection locked="true" hidden="true"/>
    </xf>
    <xf numFmtId="164" fontId="20" fillId="14" borderId="48" xfId="0" applyFont="true" applyBorder="true" applyAlignment="true" applyProtection="true">
      <alignment horizontal="center" vertical="bottom" textRotation="0" wrapText="false" indent="0" shrinkToFit="false"/>
      <protection locked="false" hidden="false"/>
    </xf>
    <xf numFmtId="172" fontId="20" fillId="14"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4" borderId="80"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4"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5"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4" borderId="84" xfId="0" applyFont="true" applyBorder="true" applyAlignment="true" applyProtection="true">
      <alignment horizontal="center" vertical="bottom" textRotation="0" wrapText="false" indent="0" shrinkToFit="false"/>
      <protection locked="false" hidden="false"/>
    </xf>
    <xf numFmtId="172" fontId="20" fillId="14"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7" fillId="0" borderId="0" xfId="0" applyFont="true" applyBorder="false" applyAlignment="false" applyProtection="true">
      <alignment horizontal="general" vertical="bottom" textRotation="0" wrapText="false" indent="0" shrinkToFit="false"/>
      <protection locked="true" hidden="true"/>
    </xf>
    <xf numFmtId="174" fontId="77" fillId="10" borderId="44" xfId="0" applyFont="true" applyBorder="true" applyAlignment="false" applyProtection="true">
      <alignment horizontal="general" vertical="bottom" textRotation="0" wrapText="false" indent="0" shrinkToFit="false"/>
      <protection locked="true" hidden="true"/>
    </xf>
    <xf numFmtId="164" fontId="77"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8" fillId="6" borderId="64" xfId="0" applyFont="true" applyBorder="true" applyAlignment="false" applyProtection="true">
      <alignment horizontal="general" vertical="bottom" textRotation="0" wrapText="false" indent="0" shrinkToFit="false"/>
      <protection locked="true" hidden="true"/>
    </xf>
    <xf numFmtId="174" fontId="79"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9"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7"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80" fillId="9" borderId="0" xfId="0" applyFont="true" applyBorder="true" applyAlignment="false" applyProtection="true">
      <alignment horizontal="general" vertical="bottom" textRotation="0" wrapText="false" indent="0" shrinkToFit="false"/>
      <protection locked="true" hidden="true"/>
    </xf>
    <xf numFmtId="164" fontId="80" fillId="9" borderId="33" xfId="0" applyFont="true" applyBorder="true" applyAlignment="false" applyProtection="true">
      <alignment horizontal="general" vertical="bottom" textRotation="0" wrapText="false" indent="0" shrinkToFit="false"/>
      <protection locked="true" hidden="true"/>
    </xf>
    <xf numFmtId="164" fontId="80"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9" fillId="9" borderId="58" xfId="0" applyFont="true" applyBorder="true" applyAlignment="true" applyProtection="true">
      <alignment horizontal="center" vertical="bottom" textRotation="0" wrapText="false" indent="0" shrinkToFit="false"/>
      <protection locked="true" hidden="true"/>
    </xf>
    <xf numFmtId="175" fontId="79"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4"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9" fillId="10" borderId="39" xfId="0" applyFont="true" applyBorder="true" applyAlignment="true" applyProtection="true">
      <alignment horizontal="right" vertical="bottom" textRotation="0" wrapText="false" indent="0" shrinkToFit="false"/>
      <protection locked="true" hidden="true"/>
    </xf>
    <xf numFmtId="174" fontId="79"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9" fillId="6" borderId="0" xfId="0" applyFont="true" applyBorder="false" applyAlignment="false" applyProtection="true">
      <alignment horizontal="general" vertical="bottom" textRotation="0" wrapText="false" indent="0" shrinkToFit="false"/>
      <protection locked="true" hidden="true"/>
    </xf>
    <xf numFmtId="164" fontId="80"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80" fillId="0" borderId="0" xfId="0" applyFont="true" applyBorder="false" applyAlignment="fals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9"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9" fillId="10" borderId="43" xfId="0" applyFont="true" applyBorder="true" applyAlignment="true" applyProtection="true">
      <alignment horizontal="right" vertical="bottom" textRotation="0" wrapText="false" indent="0" shrinkToFit="false"/>
      <protection locked="true" hidden="true"/>
    </xf>
    <xf numFmtId="174" fontId="79" fillId="10" borderId="43" xfId="0" applyFont="true" applyBorder="true" applyAlignment="true" applyProtection="false">
      <alignment horizontal="right" vertical="bottom" textRotation="0" wrapText="false" indent="0" shrinkToFit="false"/>
      <protection locked="true" hidden="false"/>
    </xf>
    <xf numFmtId="164" fontId="80"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81"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2" fillId="2" borderId="9" xfId="0" applyFont="true" applyBorder="true" applyAlignment="false" applyProtection="false">
      <alignment horizontal="general" vertical="bottom" textRotation="0" wrapText="false" indent="0" shrinkToFit="false"/>
      <protection locked="true" hidden="false"/>
    </xf>
    <xf numFmtId="164" fontId="83" fillId="2" borderId="0" xfId="0" applyFont="true" applyBorder="true" applyAlignment="true" applyProtection="false">
      <alignment horizontal="general" vertical="bottom" textRotation="0" wrapText="false" indent="0" shrinkToFit="false"/>
      <protection locked="true" hidden="false"/>
    </xf>
    <xf numFmtId="164" fontId="84" fillId="2" borderId="0" xfId="0" applyFont="true" applyBorder="true" applyAlignment="false" applyProtection="false">
      <alignment horizontal="general" vertical="bottom" textRotation="0" wrapText="false" indent="0" shrinkToFit="false"/>
      <protection locked="true" hidden="false"/>
    </xf>
    <xf numFmtId="164" fontId="85"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2" shrinkToFit="false"/>
      <protection locked="true" hidden="false"/>
    </xf>
    <xf numFmtId="164" fontId="86" fillId="11" borderId="0" xfId="0" applyFont="true" applyBorder="true" applyAlignment="false" applyProtection="false">
      <alignment horizontal="general" vertical="bottom" textRotation="0" wrapText="false" indent="0" shrinkToFit="false"/>
      <protection locked="true" hidden="false"/>
    </xf>
    <xf numFmtId="164" fontId="87" fillId="11" borderId="0" xfId="0" applyFont="true" applyBorder="true" applyAlignment="false" applyProtection="false">
      <alignment horizontal="general" vertical="bottom" textRotation="0" wrapText="false" indent="0" shrinkToFit="false"/>
      <protection locked="true" hidden="false"/>
    </xf>
    <xf numFmtId="164" fontId="86" fillId="11" borderId="18"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true" applyProtection="false">
      <alignment horizontal="center" vertical="bottom" textRotation="0" wrapText="false" indent="0" shrinkToFit="false"/>
      <protection locked="true" hidden="false"/>
    </xf>
    <xf numFmtId="164" fontId="88" fillId="11" borderId="18"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general" vertical="bottom" textRotation="0" wrapText="false" indent="0" shrinkToFit="false"/>
      <protection locked="true" hidden="false"/>
    </xf>
    <xf numFmtId="164" fontId="88" fillId="11" borderId="18"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1"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90" fillId="11" borderId="0" xfId="0" applyFont="true" applyBorder="true" applyAlignment="true" applyProtection="false">
      <alignment horizontal="left" vertical="bottom" textRotation="0" wrapText="false" indent="0" shrinkToFit="false"/>
      <protection locked="true" hidden="false"/>
    </xf>
    <xf numFmtId="164" fontId="90"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6" fillId="11" borderId="11" xfId="0" applyFont="true" applyBorder="true" applyAlignment="false" applyProtection="false">
      <alignment horizontal="general" vertical="bottom" textRotation="0" wrapText="false" indent="0" shrinkToFit="false"/>
      <protection locked="true" hidden="false"/>
    </xf>
    <xf numFmtId="164" fontId="86"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69"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70"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1"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4" fillId="9" borderId="19" xfId="0" applyFont="true" applyBorder="true" applyAlignment="true" applyProtection="false">
      <alignment horizontal="left" vertical="bottom" textRotation="0" wrapText="false" indent="0" shrinkToFit="false"/>
      <protection locked="true" hidden="false"/>
    </xf>
    <xf numFmtId="164" fontId="74"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4"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5"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6"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7"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8"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L10" activeCellId="0" sqref="L10"/>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8" hidden="false" customHeight="false" outlineLevel="0" collapsed="false">
      <c r="A4" s="256" t="n">
        <v>41842</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10.037037037037</v>
      </c>
      <c r="M5" s="276"/>
      <c r="N5" s="277" t="s">
        <v>258</v>
      </c>
      <c r="O5" s="278" t="n">
        <v>10.0416666666667</v>
      </c>
      <c r="P5" s="279"/>
      <c r="Q5" s="233"/>
      <c r="R5" s="233"/>
      <c r="S5" s="233"/>
      <c r="T5" s="233"/>
      <c r="U5" s="233"/>
      <c r="V5" s="233"/>
      <c r="W5" s="245"/>
      <c r="X5" s="265"/>
    </row>
    <row r="6" customFormat="false" ht="13.8"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3.2" hidden="false" customHeight="false" outlineLevel="0" collapsed="false">
      <c r="A7" s="288" t="s">
        <v>2624</v>
      </c>
      <c r="B7" s="289" t="n">
        <v>42</v>
      </c>
      <c r="C7" s="290" t="n">
        <v>58</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6.42105263157895</v>
      </c>
      <c r="O8" s="307" t="n">
        <f aca="false">IF(ISERROR(AVERAGE(J23:J82)),"      -",AVERAGE(J23:J82))</f>
        <v>1.05263157894737</v>
      </c>
      <c r="P8" s="308"/>
      <c r="Q8" s="233"/>
      <c r="R8" s="233"/>
      <c r="S8" s="233"/>
      <c r="T8" s="233"/>
      <c r="U8" s="233"/>
      <c r="V8" s="233"/>
      <c r="W8" s="245"/>
      <c r="X8" s="246"/>
    </row>
    <row r="9" customFormat="false" ht="13.8" hidden="false" customHeight="false" outlineLevel="0" collapsed="false">
      <c r="A9" s="266" t="s">
        <v>2630</v>
      </c>
      <c r="B9" s="309" t="n">
        <v>2</v>
      </c>
      <c r="C9" s="310" t="n">
        <v>20</v>
      </c>
      <c r="D9" s="311"/>
      <c r="E9" s="311"/>
      <c r="F9" s="312" t="n">
        <f aca="false">($B9*$B$7+$C9*$C$7)/100</f>
        <v>12.44</v>
      </c>
      <c r="G9" s="313"/>
      <c r="H9" s="314"/>
      <c r="I9" s="315"/>
      <c r="J9" s="316"/>
      <c r="K9" s="296"/>
      <c r="L9" s="317"/>
      <c r="M9" s="306" t="s">
        <v>2631</v>
      </c>
      <c r="N9" s="307" t="n">
        <f aca="false">IF(ISERROR(STDEVP(I23:I82)),"     -",STDEVP(I23:I82))</f>
        <v>5.393131982084</v>
      </c>
      <c r="O9" s="307" t="n">
        <f aca="false">IF(ISERROR(STDEVP(J23:J82)),"      -",STDEVP(J23:J82))</f>
        <v>0.944439918154019</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13</v>
      </c>
      <c r="O11" s="329" t="n">
        <f aca="false">MAX(J23:J82)</f>
        <v>3</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7</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5</v>
      </c>
      <c r="L13" s="339"/>
      <c r="M13" s="350" t="s">
        <v>2642</v>
      </c>
      <c r="N13" s="351" t="n">
        <f aca="false">COUNTIF(F23:F82,"&gt;0")</f>
        <v>19</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1</v>
      </c>
      <c r="L14" s="339"/>
      <c r="M14" s="354" t="s">
        <v>2645</v>
      </c>
      <c r="N14" s="355" t="n">
        <f aca="false">COUNTIF($I$23:$I$82,"&gt;-1")</f>
        <v>19</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6</v>
      </c>
      <c r="L15" s="339"/>
      <c r="M15" s="360" t="s">
        <v>2648</v>
      </c>
      <c r="N15" s="361" t="n">
        <f aca="false">COUNTIF(J23:J82,"=1")</f>
        <v>5</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6</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1</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2.22</v>
      </c>
      <c r="C20" s="389" t="n">
        <f aca="false">SUM(C23:C82)</f>
        <v>17.56</v>
      </c>
      <c r="D20" s="390"/>
      <c r="E20" s="391" t="s">
        <v>2654</v>
      </c>
      <c r="F20" s="392" t="n">
        <f aca="false">($B20*$B$7+$C20*$C$7)/100</f>
        <v>11.1172</v>
      </c>
      <c r="G20" s="393"/>
      <c r="H20" s="394"/>
      <c r="I20" s="395"/>
      <c r="J20" s="395"/>
      <c r="K20" s="396"/>
      <c r="L20" s="270"/>
      <c r="M20" s="397"/>
      <c r="N20" s="397"/>
      <c r="O20" s="398"/>
      <c r="P20" s="399"/>
      <c r="Q20" s="400" t="s">
        <v>2656</v>
      </c>
      <c r="R20" s="233"/>
      <c r="S20" s="233"/>
      <c r="T20" s="233"/>
      <c r="U20" s="233"/>
      <c r="V20" s="233"/>
      <c r="W20" s="373" t="s">
        <v>2657</v>
      </c>
    </row>
    <row r="21" customFormat="false" ht="13.2" hidden="false" customHeight="false" outlineLevel="0" collapsed="false">
      <c r="A21" s="401" t="s">
        <v>2658</v>
      </c>
      <c r="B21" s="402" t="n">
        <f aca="false">B20*B7/100</f>
        <v>0.9324</v>
      </c>
      <c r="C21" s="402" t="n">
        <f aca="false">C20*C7/100</f>
        <v>10.1848</v>
      </c>
      <c r="D21" s="334" t="str">
        <f aca="false">IF(F21=0,"",IF((ABS(F21-F19))&gt;(0.2*F21),CONCATENATE(" rec. par taxa (",F21," %) supérieur à 20 % !"),""))</f>
        <v> rec. par taxa (11,1172 %) supérieur à 20 % !</v>
      </c>
      <c r="E21" s="403" t="str">
        <f aca="false">IF(F21=0,"",IF((ABS(F21-F19))&gt;(0.2*F21),CONCATENATE("ATTENTION : écart entre rec. par grp (",F19," %) ","et",""),""))</f>
        <v>ATTENTION : écart entre rec. par grp (0 %) et</v>
      </c>
      <c r="F21" s="404" t="n">
        <f aca="false">B21+C21</f>
        <v>11.1172</v>
      </c>
      <c r="G21" s="405"/>
      <c r="H21" s="334"/>
      <c r="I21" s="406"/>
      <c r="J21" s="406"/>
      <c r="K21" s="407"/>
      <c r="L21" s="407"/>
      <c r="M21" s="408"/>
      <c r="N21" s="408"/>
      <c r="O21" s="409"/>
      <c r="P21" s="410"/>
      <c r="Q21" s="411" t="s">
        <v>2659</v>
      </c>
      <c r="R21" s="233"/>
      <c r="S21" s="233"/>
      <c r="T21" s="233"/>
      <c r="U21" s="233"/>
      <c r="V21" s="233"/>
      <c r="W21" s="373" t="s">
        <v>2660</v>
      </c>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t="s">
        <v>59</v>
      </c>
      <c r="B23" s="428" t="n">
        <v>0.02</v>
      </c>
      <c r="C23" s="429"/>
      <c r="D23" s="430" t="str">
        <f aca="false">IF(ISERROR(VLOOKUP($A23,'liste reference'!$A$7:$D$904,2,0)),IF(ISERROR(VLOOKUP($A23,'liste reference'!$B$7:$D$904,1,0)),"",VLOOKUP($A23,'liste reference'!$B$7:$D$904,1,0)),VLOOKUP($A23,'liste reference'!$A$7:$D$904,2,0))</f>
        <v>Audouinella sp.</v>
      </c>
      <c r="E23" s="430" t="e">
        <f aca="false">IF(D23="",0,VLOOKUP(D23,D$22:D22,1,0))</f>
        <v>#N/A</v>
      </c>
      <c r="F23" s="431" t="n">
        <f aca="false">($B23*$B$7+$C23*$C$7)/100</f>
        <v>0.0084</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13</v>
      </c>
      <c r="J23" s="434" t="n">
        <f aca="false">IF(ISNUMBER(H23),IF(ISERROR(VLOOKUP($A23,'liste reference'!$A$7:$P$904,4,0)),IF(ISERROR(VLOOKUP($A23,'liste reference'!$B$7:$P$904,3,0)),"",VLOOKUP($A23,'liste reference'!$B$7:$P$904,3,0)),VLOOKUP($A23,'liste reference'!$A$7:$P$904,4,0)),"")</f>
        <v>2</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6076</v>
      </c>
      <c r="Q23" s="439" t="n">
        <f aca="false">IF(ISTEXT(H23),"",(B23*$B$7/100)+(C23*$C$7/100))</f>
        <v>0.0084</v>
      </c>
      <c r="R23" s="440" t="n">
        <f aca="false">IF(OR(ISTEXT(H23),Q23=0),"",IF(Q23&lt;0.1,1,IF(Q23&lt;1,2,IF(Q23&lt;10,3,IF(Q23&lt;50,4,IF(Q23&gt;=50,5,""))))))</f>
        <v>1</v>
      </c>
      <c r="S23" s="440" t="n">
        <f aca="false">IF(ISERROR(R23*I23),0,R23*I23)</f>
        <v>13</v>
      </c>
      <c r="T23" s="440" t="n">
        <f aca="false">IF(ISERROR(R23*I23*J23),0,R23*I23*J23)</f>
        <v>26</v>
      </c>
      <c r="U23" s="440" t="n">
        <f aca="false">IF(ISERROR(R23*J23),0,R23*J23)</f>
        <v>2</v>
      </c>
      <c r="V23" s="441" t="str">
        <f aca="false">IF(AND(A23="",F23=0),"",IF(F23=0,"Il manque le(s) % de rec. !",""))</f>
        <v/>
      </c>
      <c r="W23" s="442"/>
      <c r="Y23" s="443" t="str">
        <f aca="false">IF(A23="new.cod","NEWCOD",IF(AND((Z23=""),ISTEXT(A23)),A23,IF(Z23="","",INDEX('liste reference'!$A$8:$A$904,Z23))))</f>
        <v>AUDSPX</v>
      </c>
      <c r="Z23" s="233" t="n">
        <f aca="false">IF(ISERROR(MATCH(A23,'liste reference'!$A$8:$A$904,0)),IF(ISERROR(MATCH(A23,'liste reference'!$B$8:$B$904,0)),"",(MATCH(A23,'liste reference'!$B$8:$B$904,0))),(MATCH(A23,'liste reference'!$A$8:$A$904,0)))</f>
        <v>5</v>
      </c>
      <c r="AA23" s="444"/>
      <c r="AB23" s="445"/>
      <c r="AC23" s="445"/>
      <c r="BB23" s="233" t="n">
        <f aca="false">IF(A23="","",1)</f>
        <v>1</v>
      </c>
    </row>
    <row r="24" customFormat="false" ht="13.2" hidden="false" customHeight="false" outlineLevel="0" collapsed="false">
      <c r="A24" s="446" t="s">
        <v>113</v>
      </c>
      <c r="B24" s="447"/>
      <c r="C24" s="448" t="n">
        <v>0.05</v>
      </c>
      <c r="D24" s="430" t="str">
        <f aca="false">IF(ISERROR(VLOOKUP($A24,'liste reference'!$A$7:$D$904,2,0)),IF(ISERROR(VLOOKUP($A24,'liste reference'!$B$7:$D$904,1,0)),"",VLOOKUP($A24,'liste reference'!$B$7:$D$904,1,0)),VLOOKUP($A24,'liste reference'!$A$7:$D$904,2,0))</f>
        <v>Chara vulgaris</v>
      </c>
      <c r="E24" s="449" t="e">
        <f aca="false">IF(D24="",0,VLOOKUP(D24,D$22:D23,1,0))</f>
        <v>#N/A</v>
      </c>
      <c r="F24" s="450" t="n">
        <f aca="false">($B24*$B$7+$C24*$C$7)/100</f>
        <v>0.029</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13</v>
      </c>
      <c r="J24" s="434" t="n">
        <f aca="false">IF(ISNUMBER(H24),IF(ISERROR(VLOOKUP($A24,'liste reference'!$A$7:$P$904,4,0)),IF(ISERROR(VLOOKUP($A24,'liste reference'!$B$7:$P$904,3,0)),"",VLOOKUP($A24,'liste reference'!$B$7:$P$904,3,0)),VLOOKUP($A24,'liste reference'!$A$7:$P$904,4,0)),"")</f>
        <v>1</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Chara vulgaris</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5261</v>
      </c>
      <c r="Q24" s="439" t="n">
        <f aca="false">IF(ISTEXT(H24),"",(B24*$B$7/100)+(C24*$C$7/100))</f>
        <v>0.029</v>
      </c>
      <c r="R24" s="440" t="n">
        <f aca="false">IF(OR(ISTEXT(H24),Q24=0),"",IF(Q24&lt;0.1,1,IF(Q24&lt;1,2,IF(Q24&lt;10,3,IF(Q24&lt;50,4,IF(Q24&gt;=50,5,""))))))</f>
        <v>1</v>
      </c>
      <c r="S24" s="440" t="n">
        <f aca="false">IF(ISERROR(R24*I24),0,R24*I24)</f>
        <v>13</v>
      </c>
      <c r="T24" s="440" t="n">
        <f aca="false">IF(ISERROR(R24*I24*J24),0,R24*I24*J24)</f>
        <v>13</v>
      </c>
      <c r="U24" s="452" t="n">
        <f aca="false">IF(ISERROR(R24*J24),0,R24*J24)</f>
        <v>1</v>
      </c>
      <c r="V24" s="441" t="str">
        <f aca="false">IF(AND(A24="",F24=0),"",IF(F24=0,"Il manque le(s) % de rec. !",""))</f>
        <v/>
      </c>
      <c r="W24" s="442"/>
      <c r="Y24" s="443" t="str">
        <f aca="false">IF(A24="new.cod","NEWCOD",IF(AND((Z24=""),ISTEXT(A24)),A24,IF(Z24="","",INDEX('liste reference'!$A$8:$A$904,Z24))))</f>
        <v>CHAVUL</v>
      </c>
      <c r="Z24" s="233" t="n">
        <f aca="false">IF(ISERROR(MATCH(A24,'liste reference'!$A$8:$A$904,0)),IF(ISERROR(MATCH(A24,'liste reference'!$B$8:$B$904,0)),"",(MATCH(A24,'liste reference'!$B$8:$B$904,0))),(MATCH(A24,'liste reference'!$A$8:$A$904,0)))</f>
        <v>20</v>
      </c>
      <c r="AA24" s="444"/>
      <c r="AB24" s="445"/>
      <c r="AC24" s="445"/>
      <c r="BB24" s="233" t="n">
        <f aca="false">IF(A24="","",1)</f>
        <v>1</v>
      </c>
    </row>
    <row r="25" customFormat="false" ht="13.2" hidden="false" customHeight="false" outlineLevel="0" collapsed="false">
      <c r="A25" s="446" t="s">
        <v>122</v>
      </c>
      <c r="B25" s="447" t="n">
        <v>0.4</v>
      </c>
      <c r="C25" s="448" t="n">
        <v>0.05</v>
      </c>
      <c r="D25" s="430" t="str">
        <f aca="false">IF(ISERROR(VLOOKUP($A25,'liste reference'!$A$7:$D$904,2,0)),IF(ISERROR(VLOOKUP($A25,'liste reference'!$B$7:$D$904,1,0)),"",VLOOKUP($A25,'liste reference'!$B$7:$D$904,1,0)),VLOOKUP($A25,'liste reference'!$A$7:$D$904,2,0))</f>
        <v>Cladophora sp.</v>
      </c>
      <c r="E25" s="449" t="e">
        <f aca="false">IF(D25="",0,VLOOKUP(D25,D$22:D24,1,0))</f>
        <v>#N/A</v>
      </c>
      <c r="F25" s="450" t="n">
        <f aca="false">($B25*$B$7+$C25*$C$7)/100</f>
        <v>0.197</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6</v>
      </c>
      <c r="J25" s="434" t="n">
        <f aca="false">IF(ISNUMBER(H25),IF(ISERROR(VLOOKUP($A25,'liste reference'!$A$7:$P$904,4,0)),IF(ISERROR(VLOOKUP($A25,'liste reference'!$B$7:$P$904,3,0)),"",VLOOKUP($A25,'liste reference'!$B$7:$P$904,3,0)),VLOOKUP($A25,'liste reference'!$A$7:$P$904,4,0)),"")</f>
        <v>1</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1124</v>
      </c>
      <c r="Q25" s="439" t="n">
        <f aca="false">IF(ISTEXT(H25),"",(B25*$B$7/100)+(C25*$C$7/100))</f>
        <v>0.197</v>
      </c>
      <c r="R25" s="440" t="n">
        <f aca="false">IF(OR(ISTEXT(H25),Q25=0),"",IF(Q25&lt;0.1,1,IF(Q25&lt;1,2,IF(Q25&lt;10,3,IF(Q25&lt;50,4,IF(Q25&gt;=50,5,""))))))</f>
        <v>2</v>
      </c>
      <c r="S25" s="440" t="n">
        <f aca="false">IF(ISERROR(R25*I25),0,R25*I25)</f>
        <v>12</v>
      </c>
      <c r="T25" s="440" t="n">
        <f aca="false">IF(ISERROR(R25*I25*J25),0,R25*I25*J25)</f>
        <v>12</v>
      </c>
      <c r="U25" s="452" t="n">
        <f aca="false">IF(ISERROR(R25*J25),0,R25*J25)</f>
        <v>2</v>
      </c>
      <c r="V25" s="441" t="str">
        <f aca="false">IF(AND(A25="",F25=0),"",IF(F25=0,"Il manque le(s) % de rec. !",""))</f>
        <v/>
      </c>
      <c r="W25" s="442"/>
      <c r="Y25" s="443" t="str">
        <f aca="false">IF(A25="new.cod","NEWCOD",IF(AND((Z25=""),ISTEXT(A25)),A25,IF(Z25="","",INDEX('liste reference'!$A$8:$A$904,Z25))))</f>
        <v>CLASPX</v>
      </c>
      <c r="Z25" s="233" t="n">
        <f aca="false">IF(ISERROR(MATCH(A25,'liste reference'!$A$8:$A$904,0)),IF(ISERROR(MATCH(A25,'liste reference'!$B$8:$B$904,0)),"",(MATCH(A25,'liste reference'!$B$8:$B$904,0))),(MATCH(A25,'liste reference'!$A$8:$A$904,0)))</f>
        <v>23</v>
      </c>
      <c r="AA25" s="444"/>
      <c r="AB25" s="445"/>
      <c r="AC25" s="445"/>
      <c r="BB25" s="233" t="n">
        <f aca="false">IF(A25="","",1)</f>
        <v>1</v>
      </c>
    </row>
    <row r="26" customFormat="false" ht="13.2" hidden="false" customHeight="false" outlineLevel="0" collapsed="false">
      <c r="A26" s="446" t="s">
        <v>130</v>
      </c>
      <c r="B26" s="447" t="n">
        <v>0.05</v>
      </c>
      <c r="C26" s="448" t="n">
        <v>0.5</v>
      </c>
      <c r="D26" s="430" t="str">
        <f aca="false">IF(ISERROR(VLOOKUP($A26,'liste reference'!$A$7:$D$904,2,0)),IF(ISERROR(VLOOKUP($A26,'liste reference'!$B$7:$D$904,1,0)),"",VLOOKUP($A26,'liste reference'!$B$7:$D$904,1,0)),VLOOKUP($A26,'liste reference'!$A$7:$D$904,2,0))</f>
        <v>Diatoma sp.</v>
      </c>
      <c r="E26" s="449" t="e">
        <f aca="false">IF(D26="",0,VLOOKUP(D26,D$22:D25,1,0))</f>
        <v>#N/A</v>
      </c>
      <c r="F26" s="450" t="n">
        <f aca="false">($B26*$B$7+$C26*$C$7)/100</f>
        <v>0.311</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12</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Diatoma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6627</v>
      </c>
      <c r="Q26" s="439" t="n">
        <f aca="false">IF(ISTEXT(H26),"",(B26*$B$7/100)+(C26*$C$7/100))</f>
        <v>0.311</v>
      </c>
      <c r="R26" s="440" t="n">
        <f aca="false">IF(OR(ISTEXT(H26),Q26=0),"",IF(Q26&lt;0.1,1,IF(Q26&lt;1,2,IF(Q26&lt;10,3,IF(Q26&lt;50,4,IF(Q26&gt;=50,5,""))))))</f>
        <v>2</v>
      </c>
      <c r="S26" s="440" t="n">
        <f aca="false">IF(ISERROR(R26*I26),0,R26*I26)</f>
        <v>24</v>
      </c>
      <c r="T26" s="440" t="n">
        <f aca="false">IF(ISERROR(R26*I26*J26),0,R26*I26*J26)</f>
        <v>48</v>
      </c>
      <c r="U26" s="452" t="n">
        <f aca="false">IF(ISERROR(R26*J26),0,R26*J26)</f>
        <v>4</v>
      </c>
      <c r="V26" s="441" t="str">
        <f aca="false">IF(AND(A26="",F26=0),"",IF(F26=0,"Il manque le(s) % de rec. !",""))</f>
        <v/>
      </c>
      <c r="W26" s="442"/>
      <c r="Y26" s="443" t="str">
        <f aca="false">IF(A26="new.cod","NEWCOD",IF(AND((Z26=""),ISTEXT(A26)),A26,IF(Z26="","",INDEX('liste reference'!$A$8:$A$904,Z26))))</f>
        <v>DIASPX</v>
      </c>
      <c r="Z26" s="233" t="n">
        <f aca="false">IF(ISERROR(MATCH(A26,'liste reference'!$A$8:$A$904,0)),IF(ISERROR(MATCH(A26,'liste reference'!$B$8:$B$904,0)),"",(MATCH(A26,'liste reference'!$B$8:$B$904,0))),(MATCH(A26,'liste reference'!$A$8:$A$904,0)))</f>
        <v>26</v>
      </c>
      <c r="AA26" s="444"/>
      <c r="AB26" s="445"/>
      <c r="AC26" s="445"/>
      <c r="BB26" s="233" t="n">
        <f aca="false">IF(A26="","",1)</f>
        <v>1</v>
      </c>
    </row>
    <row r="27" customFormat="false" ht="13.2" hidden="false" customHeight="false" outlineLevel="0" collapsed="false">
      <c r="A27" s="446" t="s">
        <v>228</v>
      </c>
      <c r="B27" s="447" t="n">
        <v>0.05</v>
      </c>
      <c r="C27" s="448" t="n">
        <v>0.01</v>
      </c>
      <c r="D27" s="430" t="str">
        <f aca="false">IF(ISERROR(VLOOKUP($A27,'liste reference'!$A$7:$D$904,2,0)),IF(ISERROR(VLOOKUP($A27,'liste reference'!$B$7:$D$904,1,0)),"",VLOOKUP($A27,'liste reference'!$B$7:$D$904,1,0)),VLOOKUP($A27,'liste reference'!$A$7:$D$904,2,0))</f>
        <v>Phormidium sp.</v>
      </c>
      <c r="E27" s="449" t="e">
        <f aca="false">IF(D27="",0,VLOOKUP(D27,D$22:D26,1,0))</f>
        <v>#N/A</v>
      </c>
      <c r="F27" s="450" t="n">
        <f aca="false">($B27*$B$7+$C27*$C$7)/100</f>
        <v>0.0268</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13</v>
      </c>
      <c r="J27" s="434" t="n">
        <f aca="false">IF(ISNUMBER(H27),IF(ISERROR(VLOOKUP($A27,'liste reference'!$A$7:$P$904,4,0)),IF(ISERROR(VLOOKUP($A27,'liste reference'!$B$7:$P$904,3,0)),"",VLOOKUP($A27,'liste reference'!$B$7:$P$904,3,0)),VLOOKUP($A27,'liste reference'!$A$7:$P$904,4,0)),"")</f>
        <v>2</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6414</v>
      </c>
      <c r="Q27" s="439" t="n">
        <f aca="false">IF(ISTEXT(H27),"",(B27*$B$7/100)+(C27*$C$7/100))</f>
        <v>0.0268</v>
      </c>
      <c r="R27" s="440" t="n">
        <f aca="false">IF(OR(ISTEXT(H27),Q27=0),"",IF(Q27&lt;0.1,1,IF(Q27&lt;1,2,IF(Q27&lt;10,3,IF(Q27&lt;50,4,IF(Q27&gt;=50,5,""))))))</f>
        <v>1</v>
      </c>
      <c r="S27" s="440" t="n">
        <f aca="false">IF(ISERROR(R27*I27),0,R27*I27)</f>
        <v>13</v>
      </c>
      <c r="T27" s="440" t="n">
        <f aca="false">IF(ISERROR(R27*I27*J27),0,R27*I27*J27)</f>
        <v>26</v>
      </c>
      <c r="U27" s="452" t="n">
        <f aca="false">IF(ISERROR(R27*J27),0,R27*J27)</f>
        <v>2</v>
      </c>
      <c r="V27" s="441" t="str">
        <f aca="false">IF(AND(A27="",F27=0),"",IF(F27=0,"Il manque le(s) % de rec. !",""))</f>
        <v/>
      </c>
      <c r="W27" s="442"/>
      <c r="Y27" s="443" t="str">
        <f aca="false">IF(A27="new.cod","NEWCOD",IF(AND((Z27=""),ISTEXT(A27)),A27,IF(Z27="","",INDEX('liste reference'!$A$8:$A$904,Z27))))</f>
        <v>PHOSPX</v>
      </c>
      <c r="Z27" s="233" t="n">
        <f aca="false">IF(ISERROR(MATCH(A27,'liste reference'!$A$8:$A$904,0)),IF(ISERROR(MATCH(A27,'liste reference'!$B$8:$B$904,0)),"",(MATCH(A27,'liste reference'!$B$8:$B$904,0))),(MATCH(A27,'liste reference'!$A$8:$A$904,0)))</f>
        <v>57</v>
      </c>
      <c r="AA27" s="444"/>
      <c r="AB27" s="445"/>
      <c r="AC27" s="445"/>
      <c r="BB27" s="233" t="n">
        <f aca="false">IF(A27="","",1)</f>
        <v>1</v>
      </c>
    </row>
    <row r="28" customFormat="false" ht="13.2" hidden="false" customHeight="false" outlineLevel="0" collapsed="false">
      <c r="A28" s="446" t="s">
        <v>248</v>
      </c>
      <c r="B28" s="447" t="n">
        <v>0.02</v>
      </c>
      <c r="C28" s="448"/>
      <c r="D28" s="430" t="str">
        <f aca="false">IF(ISERROR(VLOOKUP($A28,'liste reference'!$A$7:$D$904,2,0)),IF(ISERROR(VLOOKUP($A28,'liste reference'!$B$7:$D$904,1,0)),"",VLOOKUP($A28,'liste reference'!$B$7:$D$904,1,0)),VLOOKUP($A28,'liste reference'!$A$7:$D$904,2,0))</f>
        <v>Schizothrix sp.</v>
      </c>
      <c r="E28" s="449" t="e">
        <f aca="false">IF(D28="",0,VLOOKUP(D28,D$22:D27,1,0))</f>
        <v>#N/A</v>
      </c>
      <c r="F28" s="450" t="n">
        <f aca="false">($B28*$B$7+$C28*$C$7)/100</f>
        <v>0.0084</v>
      </c>
      <c r="G28" s="432" t="str">
        <f aca="false">IF(A28="","",IF(ISERROR(VLOOKUP($A28,'liste reference'!$A$7:$P$904,13,0)),IF(ISERROR(VLOOKUP($A28,'liste reference'!$B$7:$P$904,12,0)),"    -",VLOOKUP($A28,'liste reference'!$B$7:$P$904,12,0)),VLOOKUP($A28,'liste reference'!$A$7:$P$904,13,0)))</f>
        <v>ALG</v>
      </c>
      <c r="H28" s="433" t="n">
        <f aca="false">IF(A28="","x",IF(ISERROR(VLOOKUP($A28,'liste reference'!$A$8:$P$904,14,0)),IF(ISERROR(VLOOKUP($A28,'liste reference'!$B$8:$P$904,13,0)),"x",VLOOKUP($A28,'liste reference'!$B$8:$P$904,13,0)),VLOOKUP($A28,'liste reference'!$A$8:$P$904,14,0)))</f>
        <v>2</v>
      </c>
      <c r="I28" s="434" t="n">
        <f aca="false">IF(ISNUMBER(H28),IF(ISERROR(VLOOKUP($A28,'liste reference'!$A$7:$P$904,3,0)),IF(ISERROR(VLOOKUP($A28,'liste reference'!$B$7:$P$904,2,0)),"",VLOOKUP($A28,'liste reference'!$B$7:$P$904,2,0)),VLOOKUP($A28,'liste reference'!$A$7:$P$904,3,0)),"")</f>
        <v>0</v>
      </c>
      <c r="J28" s="434" t="n">
        <f aca="false">IF(ISNUMBER(H28),IF(ISERROR(VLOOKUP($A28,'liste reference'!$A$7:$P$904,4,0)),IF(ISERROR(VLOOKUP($A28,'liste reference'!$B$7:$P$904,3,0)),"",VLOOKUP($A28,'liste reference'!$B$7:$P$904,3,0)),VLOOKUP($A28,'liste reference'!$A$7:$P$904,4,0)),"")</f>
        <v>0</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Schizothrix sp.</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6436</v>
      </c>
      <c r="Q28" s="439" t="n">
        <f aca="false">IF(ISTEXT(H28),"",(B28*$B$7/100)+(C28*$C$7/100))</f>
        <v>0.0084</v>
      </c>
      <c r="R28" s="440" t="n">
        <f aca="false">IF(OR(ISTEXT(H28),Q28=0),"",IF(Q28&lt;0.1,1,IF(Q28&lt;1,2,IF(Q28&lt;10,3,IF(Q28&lt;50,4,IF(Q28&gt;=50,5,""))))))</f>
        <v>1</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SCZSPX</v>
      </c>
      <c r="Z28" s="233" t="n">
        <f aca="false">IF(ISERROR(MATCH(A28,'liste reference'!$A$8:$A$904,0)),IF(ISERROR(MATCH(A28,'liste reference'!$B$8:$B$904,0)),"",(MATCH(A28,'liste reference'!$B$8:$B$904,0))),(MATCH(A28,'liste reference'!$A$8:$A$904,0)))</f>
        <v>65</v>
      </c>
      <c r="AA28" s="444"/>
      <c r="AB28" s="445"/>
      <c r="AC28" s="445"/>
      <c r="BB28" s="233" t="n">
        <f aca="false">IF(A28="","",1)</f>
        <v>1</v>
      </c>
    </row>
    <row r="29" customFormat="false" ht="13.2" hidden="false" customHeight="false" outlineLevel="0" collapsed="false">
      <c r="A29" s="446" t="s">
        <v>258</v>
      </c>
      <c r="B29" s="447" t="n">
        <v>0.4</v>
      </c>
      <c r="C29" s="448" t="n">
        <v>15</v>
      </c>
      <c r="D29" s="430" t="str">
        <f aca="false">IF(ISERROR(VLOOKUP($A29,'liste reference'!$A$7:$D$904,2,0)),IF(ISERROR(VLOOKUP($A29,'liste reference'!$B$7:$D$904,1,0)),"",VLOOKUP($A29,'liste reference'!$B$7:$D$904,1,0)),VLOOKUP($A29,'liste reference'!$A$7:$D$904,2,0))</f>
        <v>Spirogyra sp.</v>
      </c>
      <c r="E29" s="449" t="e">
        <f aca="false">IF(D29="",0,VLOOKUP(D29,D$22:D28,1,0))</f>
        <v>#N/A</v>
      </c>
      <c r="F29" s="450" t="n">
        <f aca="false">($B29*$B$7+$C29*$C$7)/100</f>
        <v>8.868</v>
      </c>
      <c r="G29" s="432" t="str">
        <f aca="false">IF(A29="","",IF(ISERROR(VLOOKUP($A29,'liste reference'!$A$7:$P$904,13,0)),IF(ISERROR(VLOOKUP($A29,'liste reference'!$B$7:$P$904,12,0)),"    -",VLOOKUP($A29,'liste reference'!$B$7:$P$904,12,0)),VLOOKUP($A29,'liste reference'!$A$7:$P$904,13,0)))</f>
        <v>ALG</v>
      </c>
      <c r="H29" s="433" t="n">
        <f aca="false">IF(A29="","x",IF(ISERROR(VLOOKUP($A29,'liste reference'!$A$8:$P$904,14,0)),IF(ISERROR(VLOOKUP($A29,'liste reference'!$B$8:$P$904,13,0)),"x",VLOOKUP($A29,'liste reference'!$B$8:$P$904,13,0)),VLOOKUP($A29,'liste reference'!$A$8:$P$904,14,0)))</f>
        <v>2</v>
      </c>
      <c r="I29" s="434" t="n">
        <f aca="false">IF(ISNUMBER(H29),IF(ISERROR(VLOOKUP($A29,'liste reference'!$A$7:$P$904,3,0)),IF(ISERROR(VLOOKUP($A29,'liste reference'!$B$7:$P$904,2,0)),"",VLOOKUP($A29,'liste reference'!$B$7:$P$904,2,0)),VLOOKUP($A29,'liste reference'!$A$7:$P$904,3,0)),"")</f>
        <v>10</v>
      </c>
      <c r="J29" s="434" t="n">
        <f aca="false">IF(ISNUMBER(H29),IF(ISERROR(VLOOKUP($A29,'liste reference'!$A$7:$P$904,4,0)),IF(ISERROR(VLOOKUP($A29,'liste reference'!$B$7:$P$904,3,0)),"",VLOOKUP($A29,'liste reference'!$B$7:$P$904,3,0)),VLOOKUP($A29,'liste reference'!$A$7:$P$904,4,0)),"")</f>
        <v>1</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1147</v>
      </c>
      <c r="Q29" s="439" t="n">
        <f aca="false">IF(ISTEXT(H29),"",(B29*$B$7/100)+(C29*$C$7/100))</f>
        <v>8.868</v>
      </c>
      <c r="R29" s="440" t="n">
        <f aca="false">IF(OR(ISTEXT(H29),Q29=0),"",IF(Q29&lt;0.1,1,IF(Q29&lt;1,2,IF(Q29&lt;10,3,IF(Q29&lt;50,4,IF(Q29&gt;=50,5,""))))))</f>
        <v>3</v>
      </c>
      <c r="S29" s="440" t="n">
        <f aca="false">IF(ISERROR(R29*I29),0,R29*I29)</f>
        <v>30</v>
      </c>
      <c r="T29" s="440" t="n">
        <f aca="false">IF(ISERROR(R29*I29*J29),0,R29*I29*J29)</f>
        <v>30</v>
      </c>
      <c r="U29" s="452" t="n">
        <f aca="false">IF(ISERROR(R29*J29),0,R29*J29)</f>
        <v>3</v>
      </c>
      <c r="V29" s="441" t="str">
        <f aca="false">IF(AND(A29="",F29=0),"",IF(F29=0,"Il manque le(s) % de rec. !",""))</f>
        <v/>
      </c>
      <c r="W29" s="442"/>
      <c r="Y29" s="443" t="str">
        <f aca="false">IF(A29="new.cod","NEWCOD",IF(AND((Z29=""),ISTEXT(A29)),A29,IF(Z29="","",INDEX('liste reference'!$A$8:$A$904,Z29))))</f>
        <v>SPISPX</v>
      </c>
      <c r="Z29" s="233" t="n">
        <f aca="false">IF(ISERROR(MATCH(A29,'liste reference'!$A$8:$A$904,0)),IF(ISERROR(MATCH(A29,'liste reference'!$B$8:$B$904,0)),"",(MATCH(A29,'liste reference'!$B$8:$B$904,0))),(MATCH(A29,'liste reference'!$A$8:$A$904,0)))</f>
        <v>69</v>
      </c>
      <c r="AA29" s="444"/>
      <c r="AB29" s="445"/>
      <c r="AC29" s="445"/>
      <c r="BB29" s="233" t="n">
        <f aca="false">IF(A29="","",1)</f>
        <v>1</v>
      </c>
    </row>
    <row r="30" customFormat="false" ht="13.2" hidden="false" customHeight="false" outlineLevel="0" collapsed="false">
      <c r="A30" s="446" t="s">
        <v>512</v>
      </c>
      <c r="B30" s="447"/>
      <c r="C30" s="448" t="n">
        <v>0.01</v>
      </c>
      <c r="D30" s="430" t="str">
        <f aca="false">IF(ISERROR(VLOOKUP($A30,'liste reference'!$A$7:$D$904,2,0)),IF(ISERROR(VLOOKUP($A30,'liste reference'!$B$7:$D$904,1,0)),"",VLOOKUP($A30,'liste reference'!$B$7:$D$904,1,0)),VLOOKUP($A30,'liste reference'!$A$7:$D$904,2,0))</f>
        <v>Pellia endiviifolia</v>
      </c>
      <c r="E30" s="449" t="e">
        <f aca="false">IF(D30="",0,VLOOKUP(D30,D$20:D25,1,0))</f>
        <v>#N/A</v>
      </c>
      <c r="F30" s="450" t="n">
        <f aca="false">($B30*$B$7+$C30*$C$7)/100</f>
        <v>0.0058</v>
      </c>
      <c r="G30" s="432" t="str">
        <f aca="false">IF(A30="","",IF(ISERROR(VLOOKUP($A30,'liste reference'!$A$7:$P$904,13,0)),IF(ISERROR(VLOOKUP($A30,'liste reference'!$B$7:$P$904,12,0)),"    -",VLOOKUP($A30,'liste reference'!$B$7:$P$904,12,0)),VLOOKUP($A30,'liste reference'!$A$7:$P$904,13,0)))</f>
        <v>BRh</v>
      </c>
      <c r="H30" s="433" t="n">
        <f aca="false">IF(A30="","x",IF(ISERROR(VLOOKUP($A30,'liste reference'!$A$8:$P$904,14,0)),IF(ISERROR(VLOOKUP($A30,'liste reference'!$B$8:$P$904,13,0)),"x",VLOOKUP($A30,'liste reference'!$B$8:$P$904,13,0)),VLOOKUP($A30,'liste reference'!$A$8:$P$904,14,0)))</f>
        <v>4</v>
      </c>
      <c r="I30" s="434" t="n">
        <f aca="false">IF(ISNUMBER(H30),IF(ISERROR(VLOOKUP($A30,'liste reference'!$A$7:$P$904,3,0)),IF(ISERROR(VLOOKUP($A30,'liste reference'!$B$7:$P$904,2,0)),"",VLOOKUP($A30,'liste reference'!$B$7:$P$904,2,0)),VLOOKUP($A30,'liste reference'!$A$7:$P$904,3,0)),"")</f>
        <v>0</v>
      </c>
      <c r="J30" s="434" t="n">
        <f aca="false">IF(ISNUMBER(H30),IF(ISERROR(VLOOKUP($A30,'liste reference'!$A$7:$P$904,4,0)),IF(ISERROR(VLOOKUP($A30,'liste reference'!$B$7:$P$904,3,0)),"",VLOOKUP($A30,'liste reference'!$B$7:$P$904,3,0)),VLOOKUP($A30,'liste reference'!$A$7:$P$904,4,0)),"")</f>
        <v>0</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Pellia endiviifolia</v>
      </c>
      <c r="L30" s="451"/>
      <c r="M30" s="451"/>
      <c r="N30" s="451"/>
      <c r="O30" s="437" t="s">
        <v>2679</v>
      </c>
      <c r="P30" s="438" t="n">
        <f aca="false">IF($A30="NEWCOD",IF($AC30="","No",$AC30),IF(ISTEXT($E30),"DEJA SAISI !",IF($A30="","",IF(ISERROR(VLOOKUP($A30,'liste reference'!A:S,19,FALSE())),IF(ISERROR(VLOOKUP($A30,'liste reference'!B:S,19,FALSE())),"",VLOOKUP($A30,'liste reference'!B:S,19,FALSE())),VLOOKUP($A30,'liste reference'!A:S,19,FALSE())))))</f>
        <v>1197</v>
      </c>
      <c r="Q30" s="439" t="n">
        <f aca="false">IF(ISTEXT(H30),"",(B30*$B$7/100)+(C30*$C$7/100))</f>
        <v>0.0058</v>
      </c>
      <c r="R30" s="440" t="n">
        <f aca="false">IF(OR(ISTEXT(H30),Q30=0),"",IF(Q30&lt;0.1,1,IF(Q30&lt;1,2,IF(Q30&lt;10,3,IF(Q30&lt;50,4,IF(Q30&gt;=50,5,""))))))</f>
        <v>1</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PELEND</v>
      </c>
      <c r="Z30" s="233" t="n">
        <f aca="false">IF(ISERROR(MATCH(A30,'liste reference'!$A$8:$A$904,0)),IF(ISERROR(MATCH(A30,'liste reference'!$B$8:$B$904,0)),"",(MATCH(A30,'liste reference'!$B$8:$B$904,0))),(MATCH(A30,'liste reference'!$A$8:$A$904,0)))</f>
        <v>120</v>
      </c>
      <c r="AA30" s="444" t="s">
        <v>2679</v>
      </c>
      <c r="AB30" s="445"/>
      <c r="AC30" s="445"/>
      <c r="BB30" s="233" t="n">
        <f aca="false">IF(A30="","",1)</f>
        <v>1</v>
      </c>
    </row>
    <row r="31" customFormat="false" ht="13.2" hidden="false" customHeight="false" outlineLevel="0" collapsed="false">
      <c r="A31" s="446" t="s">
        <v>776</v>
      </c>
      <c r="B31" s="447" t="n">
        <v>0.2</v>
      </c>
      <c r="C31" s="448" t="n">
        <v>0.05</v>
      </c>
      <c r="D31" s="430" t="str">
        <f aca="false">IF(ISERROR(VLOOKUP($A31,'liste reference'!$A$7:$D$904,2,0)),IF(ISERROR(VLOOKUP($A31,'liste reference'!$B$7:$D$904,1,0)),"",VLOOKUP($A31,'liste reference'!$B$7:$D$904,1,0)),VLOOKUP($A31,'liste reference'!$A$7:$D$904,2,0))</f>
        <v>Dichodontium flavescens</v>
      </c>
      <c r="E31" s="449" t="e">
        <f aca="false">IF(D31="",0,VLOOKUP(D31,D$22:D30,1,0))</f>
        <v>#N/A</v>
      </c>
      <c r="F31" s="450" t="n">
        <f aca="false">($B31*$B$7+$C31*$C$7)/100</f>
        <v>0.113</v>
      </c>
      <c r="G31" s="432" t="str">
        <f aca="false">IF(A31="","",IF(ISERROR(VLOOKUP($A31,'liste reference'!$A$7:$P$904,13,0)),IF(ISERROR(VLOOKUP($A31,'liste reference'!$B$7:$P$904,12,0)),"    -",VLOOKUP($A31,'liste reference'!$B$7:$P$904,12,0)),VLOOKUP($A31,'liste reference'!$A$7:$P$904,13,0)))</f>
        <v>BRm</v>
      </c>
      <c r="H31" s="433" t="n">
        <f aca="false">IF(A31="","x",IF(ISERROR(VLOOKUP($A31,'liste reference'!$A$8:$P$904,14,0)),IF(ISERROR(VLOOKUP($A31,'liste reference'!$B$8:$P$904,13,0)),"x",VLOOKUP($A31,'liste reference'!$B$8:$P$904,13,0)),VLOOKUP($A31,'liste reference'!$A$8:$P$904,14,0)))</f>
        <v>5</v>
      </c>
      <c r="I31" s="434" t="n">
        <f aca="false">IF(ISNUMBER(H31),IF(ISERROR(VLOOKUP($A31,'liste reference'!$A$7:$P$904,3,0)),IF(ISERROR(VLOOKUP($A31,'liste reference'!$B$7:$P$904,2,0)),"",VLOOKUP($A31,'liste reference'!$B$7:$P$904,2,0)),VLOOKUP($A31,'liste reference'!$A$7:$P$904,3,0)),"")</f>
        <v>0</v>
      </c>
      <c r="J31" s="434" t="n">
        <f aca="false">IF(ISNUMBER(H31),IF(ISERROR(VLOOKUP($A31,'liste reference'!$A$7:$P$904,4,0)),IF(ISERROR(VLOOKUP($A31,'liste reference'!$B$7:$P$904,3,0)),"",VLOOKUP($A31,'liste reference'!$B$7:$P$904,3,0)),VLOOKUP($A31,'liste reference'!$A$7:$P$904,4,0)),"")</f>
        <v>0</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Dichodontium flavescens</v>
      </c>
      <c r="L31" s="451"/>
      <c r="M31" s="451"/>
      <c r="N31" s="451"/>
      <c r="O31" s="437" t="s">
        <v>2679</v>
      </c>
      <c r="P31" s="438" t="n">
        <f aca="false">IF($A31="NEWCOD",IF($AC31="","No",$AC31),IF(ISTEXT($E31),"DEJA SAISI !",IF($A31="","",IF(ISERROR(VLOOKUP($A31,'liste reference'!A:S,19,FALSE())),IF(ISERROR(VLOOKUP($A31,'liste reference'!B:S,19,FALSE())),"",VLOOKUP($A31,'liste reference'!B:S,19,FALSE())),VLOOKUP($A31,'liste reference'!A:S,19,FALSE())))))</f>
        <v>1277</v>
      </c>
      <c r="Q31" s="439" t="n">
        <f aca="false">IF(ISTEXT(H31),"",(B31*$B$7/100)+(C31*$C$7/100))</f>
        <v>0.113</v>
      </c>
      <c r="R31" s="440" t="n">
        <f aca="false">IF(OR(ISTEXT(H31),Q31=0),"",IF(Q31&lt;0.1,1,IF(Q31&lt;1,2,IF(Q31&lt;10,3,IF(Q31&lt;50,4,IF(Q31&gt;=50,5,""))))))</f>
        <v>2</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DIHFLA</v>
      </c>
      <c r="Z31" s="233" t="n">
        <f aca="false">IF(ISERROR(MATCH(A31,'liste reference'!$A$8:$A$904,0)),IF(ISERROR(MATCH(A31,'liste reference'!$B$8:$B$904,0)),"",(MATCH(A31,'liste reference'!$B$8:$B$904,0))),(MATCH(A31,'liste reference'!$A$8:$A$904,0)))</f>
        <v>181</v>
      </c>
      <c r="AA31" s="444" t="s">
        <v>2679</v>
      </c>
      <c r="AB31" s="445"/>
      <c r="AC31" s="445"/>
      <c r="BB31" s="233" t="n">
        <f aca="false">IF(A31="","",1)</f>
        <v>1</v>
      </c>
    </row>
    <row r="32" customFormat="false" ht="13.2" hidden="false" customHeight="false" outlineLevel="0" collapsed="false">
      <c r="A32" s="446" t="s">
        <v>832</v>
      </c>
      <c r="B32" s="447" t="n">
        <v>0.5</v>
      </c>
      <c r="C32" s="448" t="n">
        <v>1</v>
      </c>
      <c r="D32" s="430" t="str">
        <f aca="false">IF(ISERROR(VLOOKUP($A32,'liste reference'!$A$7:$D$904,2,0)),IF(ISERROR(VLOOKUP($A32,'liste reference'!$B$7:$D$904,1,0)),"",VLOOKUP($A32,'liste reference'!$B$7:$D$904,1,0)),VLOOKUP($A32,'liste reference'!$A$7:$D$904,2,0))</f>
        <v>Eurhynchium praelongum </v>
      </c>
      <c r="E32" s="449" t="e">
        <f aca="false">IF(D32="",0,VLOOKUP(D32,D$22:D31,1,0))</f>
        <v>#N/A</v>
      </c>
      <c r="F32" s="450" t="n">
        <f aca="false">($B32*$B$7+$C32*$C$7)/100</f>
        <v>0.79</v>
      </c>
      <c r="G32" s="432" t="str">
        <f aca="false">IF(A32="","",IF(ISERROR(VLOOKUP($A32,'liste reference'!$A$7:$P$904,13,0)),IF(ISERROR(VLOOKUP($A32,'liste reference'!$B$7:$P$904,12,0)),"    -",VLOOKUP($A32,'liste reference'!$B$7:$P$904,12,0)),VLOOKUP($A32,'liste reference'!$A$7:$P$904,13,0)))</f>
        <v>BRm</v>
      </c>
      <c r="H32" s="433" t="n">
        <f aca="false">IF(A32="","x",IF(ISERROR(VLOOKUP($A32,'liste reference'!$A$8:$P$904,14,0)),IF(ISERROR(VLOOKUP($A32,'liste reference'!$B$8:$P$904,13,0)),"x",VLOOKUP($A32,'liste reference'!$B$8:$P$904,13,0)),VLOOKUP($A32,'liste reference'!$A$8:$P$904,14,0)))</f>
        <v>5</v>
      </c>
      <c r="I32" s="434" t="n">
        <f aca="false">IF(ISNUMBER(H32),IF(ISERROR(VLOOKUP($A32,'liste reference'!$A$7:$P$904,3,0)),IF(ISERROR(VLOOKUP($A32,'liste reference'!$B$7:$P$904,2,0)),"",VLOOKUP($A32,'liste reference'!$B$7:$P$904,2,0)),VLOOKUP($A32,'liste reference'!$A$7:$P$904,3,0)),"")</f>
        <v>0</v>
      </c>
      <c r="J32" s="434" t="n">
        <f aca="false">IF(ISNUMBER(H32),IF(ISERROR(VLOOKUP($A32,'liste reference'!$A$7:$P$904,4,0)),IF(ISERROR(VLOOKUP($A32,'liste reference'!$B$7:$P$904,3,0)),"",VLOOKUP($A32,'liste reference'!$B$7:$P$904,3,0)),VLOOKUP($A32,'liste reference'!$A$7:$P$904,4,0)),"")</f>
        <v>0</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Eurhynchium praelongum </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19656</v>
      </c>
      <c r="Q32" s="439" t="n">
        <f aca="false">IF(ISTEXT(H32),"",(B32*$B$7/100)+(C32*$C$7/100))</f>
        <v>0.79</v>
      </c>
      <c r="R32" s="440" t="n">
        <f aca="false">IF(OR(ISTEXT(H32),Q32=0),"",IF(Q32&lt;0.1,1,IF(Q32&lt;1,2,IF(Q32&lt;10,3,IF(Q32&lt;50,4,IF(Q32&gt;=50,5,""))))))</f>
        <v>2</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EURPRA</v>
      </c>
      <c r="Z32" s="233" t="n">
        <f aca="false">IF(ISERROR(MATCH(A32,'liste reference'!$A$8:$A$904,0)),IF(ISERROR(MATCH(A32,'liste reference'!$B$8:$B$904,0)),"",(MATCH(A32,'liste reference'!$B$8:$B$904,0))),(MATCH(A32,'liste reference'!$A$8:$A$904,0)))</f>
        <v>193</v>
      </c>
      <c r="AA32" s="444"/>
      <c r="AB32" s="445"/>
      <c r="AC32" s="445"/>
      <c r="BB32" s="233" t="n">
        <f aca="false">IF(A32="","",1)</f>
        <v>1</v>
      </c>
    </row>
    <row r="33" customFormat="false" ht="13.2" hidden="false" customHeight="false" outlineLevel="0" collapsed="false">
      <c r="A33" s="446" t="s">
        <v>852</v>
      </c>
      <c r="B33" s="447" t="n">
        <v>0.5</v>
      </c>
      <c r="C33" s="448" t="n">
        <v>0.8</v>
      </c>
      <c r="D33" s="430" t="str">
        <f aca="false">IF(ISERROR(VLOOKUP($A33,'liste reference'!$A$7:$D$904,2,0)),IF(ISERROR(VLOOKUP($A33,'liste reference'!$B$7:$D$904,1,0)),"",VLOOKUP($A33,'liste reference'!$B$7:$D$904,1,0)),VLOOKUP($A33,'liste reference'!$A$7:$D$904,2,0))</f>
        <v>Fissidens crassipes</v>
      </c>
      <c r="E33" s="449" t="e">
        <f aca="false">IF(D33="",0,VLOOKUP(D33,D$22:D32,1,0))</f>
        <v>#N/A</v>
      </c>
      <c r="F33" s="450" t="n">
        <f aca="false">($B33*$B$7+$C33*$C$7)/100</f>
        <v>0.674</v>
      </c>
      <c r="G33" s="432" t="str">
        <f aca="false">IF(A33="","",IF(ISERROR(VLOOKUP($A33,'liste reference'!$A$7:$P$904,13,0)),IF(ISERROR(VLOOKUP($A33,'liste reference'!$B$7:$P$904,12,0)),"    -",VLOOKUP($A33,'liste reference'!$B$7:$P$904,12,0)),VLOOKUP($A33,'liste reference'!$A$7:$P$904,13,0)))</f>
        <v>BRm</v>
      </c>
      <c r="H33" s="433" t="n">
        <f aca="false">IF(A33="","x",IF(ISERROR(VLOOKUP($A33,'liste reference'!$A$8:$P$904,14,0)),IF(ISERROR(VLOOKUP($A33,'liste reference'!$B$8:$P$904,13,0)),"x",VLOOKUP($A33,'liste reference'!$B$8:$P$904,13,0)),VLOOKUP($A33,'liste reference'!$A$8:$P$904,14,0)))</f>
        <v>5</v>
      </c>
      <c r="I33" s="434" t="n">
        <f aca="false">IF(ISNUMBER(H33),IF(ISERROR(VLOOKUP($A33,'liste reference'!$A$7:$P$904,3,0)),IF(ISERROR(VLOOKUP($A33,'liste reference'!$B$7:$P$904,2,0)),"",VLOOKUP($A33,'liste reference'!$B$7:$P$904,2,0)),VLOOKUP($A33,'liste reference'!$A$7:$P$904,3,0)),"")</f>
        <v>12</v>
      </c>
      <c r="J33" s="434" t="n">
        <f aca="false">IF(ISNUMBER(H33),IF(ISERROR(VLOOKUP($A33,'liste reference'!$A$7:$P$904,4,0)),IF(ISERROR(VLOOKUP($A33,'liste reference'!$B$7:$P$904,3,0)),"",VLOOKUP($A33,'liste reference'!$B$7:$P$904,3,0)),VLOOKUP($A33,'liste reference'!$A$7:$P$904,4,0)),"")</f>
        <v>2</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1294</v>
      </c>
      <c r="Q33" s="439" t="n">
        <f aca="false">IF(ISTEXT(H33),"",(B33*$B$7/100)+(C33*$C$7/100))</f>
        <v>0.674</v>
      </c>
      <c r="R33" s="440" t="n">
        <f aca="false">IF(OR(ISTEXT(H33),Q33=0),"",IF(Q33&lt;0.1,1,IF(Q33&lt;1,2,IF(Q33&lt;10,3,IF(Q33&lt;50,4,IF(Q33&gt;=50,5,""))))))</f>
        <v>2</v>
      </c>
      <c r="S33" s="440" t="n">
        <f aca="false">IF(ISERROR(R33*I33),0,R33*I33)</f>
        <v>24</v>
      </c>
      <c r="T33" s="440" t="n">
        <f aca="false">IF(ISERROR(R33*I33*J33),0,R33*I33*J33)</f>
        <v>48</v>
      </c>
      <c r="U33" s="452" t="n">
        <f aca="false">IF(ISERROR(R33*J33),0,R33*J33)</f>
        <v>4</v>
      </c>
      <c r="V33" s="441" t="str">
        <f aca="false">IF(AND(A33="",F33=0),"",IF(F33=0,"Il manque le(s) % de rec. !",""))</f>
        <v/>
      </c>
      <c r="W33" s="442"/>
      <c r="Y33" s="443" t="str">
        <f aca="false">IF(A33="new.cod","NEWCOD",IF(AND((Z33=""),ISTEXT(A33)),A33,IF(Z33="","",INDEX('liste reference'!$A$8:$A$904,Z33))))</f>
        <v>FISCRA</v>
      </c>
      <c r="Z33" s="233" t="n">
        <f aca="false">IF(ISERROR(MATCH(A33,'liste reference'!$A$8:$A$904,0)),IF(ISERROR(MATCH(A33,'liste reference'!$B$8:$B$904,0)),"",(MATCH(A33,'liste reference'!$B$8:$B$904,0))),(MATCH(A33,'liste reference'!$A$8:$A$904,0)))</f>
        <v>197</v>
      </c>
      <c r="AA33" s="444"/>
      <c r="AB33" s="445"/>
      <c r="AC33" s="445"/>
      <c r="BB33" s="233" t="n">
        <f aca="false">IF(A33="","",1)</f>
        <v>1</v>
      </c>
    </row>
    <row r="34" customFormat="false" ht="13.2" hidden="false" customHeight="false" outlineLevel="0" collapsed="false">
      <c r="A34" s="446" t="s">
        <v>896</v>
      </c>
      <c r="B34" s="447" t="n">
        <v>0.05</v>
      </c>
      <c r="C34" s="448"/>
      <c r="D34" s="430" t="str">
        <f aca="false">IF(ISERROR(VLOOKUP($A34,'liste reference'!$A$7:$D$904,2,0)),IF(ISERROR(VLOOKUP($A34,'liste reference'!$B$7:$D$904,1,0)),"",VLOOKUP($A34,'liste reference'!$B$7:$D$904,1,0)),VLOOKUP($A34,'liste reference'!$A$7:$D$904,2,0))</f>
        <v>Fontinalis antipyretica</v>
      </c>
      <c r="E34" s="449" t="e">
        <f aca="false">IF(D34="",0,VLOOKUP(D34,D$22:D33,1,0))</f>
        <v>#N/A</v>
      </c>
      <c r="F34" s="453" t="n">
        <f aca="false">($B34*$B$7+$C34*$C$7)/100</f>
        <v>0.021</v>
      </c>
      <c r="G34" s="432" t="str">
        <f aca="false">IF(A34="","",IF(ISERROR(VLOOKUP($A34,'liste reference'!$A$7:$P$904,13,0)),IF(ISERROR(VLOOKUP($A34,'liste reference'!$B$7:$P$904,12,0)),"    -",VLOOKUP($A34,'liste reference'!$B$7:$P$904,12,0)),VLOOKUP($A34,'liste reference'!$A$7:$P$904,13,0)))</f>
        <v>BRm</v>
      </c>
      <c r="H34" s="433" t="n">
        <f aca="false">IF(A34="","x",IF(ISERROR(VLOOKUP($A34,'liste reference'!$A$8:$P$904,14,0)),IF(ISERROR(VLOOKUP($A34,'liste reference'!$B$8:$P$904,13,0)),"x",VLOOKUP($A34,'liste reference'!$B$8:$P$904,13,0)),VLOOKUP($A34,'liste reference'!$A$8:$P$904,14,0)))</f>
        <v>5</v>
      </c>
      <c r="I34" s="434" t="n">
        <f aca="false">IF(ISNUMBER(H34),IF(ISERROR(VLOOKUP($A34,'liste reference'!$A$7:$P$904,3,0)),IF(ISERROR(VLOOKUP($A34,'liste reference'!$B$7:$P$904,2,0)),"",VLOOKUP($A34,'liste reference'!$B$7:$P$904,2,0)),VLOOKUP($A34,'liste reference'!$A$7:$P$904,3,0)),"")</f>
        <v>10</v>
      </c>
      <c r="J34" s="434" t="n">
        <f aca="false">IF(ISNUMBER(H34),IF(ISERROR(VLOOKUP($A34,'liste reference'!$A$7:$P$904,4,0)),IF(ISERROR(VLOOKUP($A34,'liste reference'!$B$7:$P$904,3,0)),"",VLOOKUP($A34,'liste reference'!$B$7:$P$904,3,0)),VLOOKUP($A34,'liste reference'!$A$7:$P$904,4,0)),"")</f>
        <v>1</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antipyretica</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1310</v>
      </c>
      <c r="Q34" s="439" t="n">
        <f aca="false">IF(ISTEXT(H34),"",(B34*$B$7/100)+(C34*$C$7/100))</f>
        <v>0.021</v>
      </c>
      <c r="R34" s="440" t="n">
        <f aca="false">IF(OR(ISTEXT(H34),Q34=0),"",IF(Q34&lt;0.1,1,IF(Q34&lt;1,2,IF(Q34&lt;10,3,IF(Q34&lt;50,4,IF(Q34&gt;=50,5,""))))))</f>
        <v>1</v>
      </c>
      <c r="S34" s="440" t="n">
        <f aca="false">IF(ISERROR(R34*I34),0,R34*I34)</f>
        <v>10</v>
      </c>
      <c r="T34" s="440" t="n">
        <f aca="false">IF(ISERROR(R34*I34*J34),0,R34*I34*J34)</f>
        <v>10</v>
      </c>
      <c r="U34" s="452" t="n">
        <f aca="false">IF(ISERROR(R34*J34),0,R34*J34)</f>
        <v>1</v>
      </c>
      <c r="V34" s="441" t="str">
        <f aca="false">IF(AND(A34="",F34=0),"",IF(F34=0,"Il manque le(s) % de rec. !",""))</f>
        <v/>
      </c>
      <c r="W34" s="442"/>
      <c r="X34" s="442"/>
      <c r="Y34" s="443" t="str">
        <f aca="false">IF(A34="new.cod","NEWCOD",IF(AND((Z34=""),ISTEXT(A34)),A34,IF(Z34="","",INDEX('liste reference'!$A$8:$A$904,Z34))))</f>
        <v>FONANT</v>
      </c>
      <c r="Z34" s="233" t="n">
        <f aca="false">IF(ISERROR(MATCH(A34,'liste reference'!$A$8:$A$904,0)),IF(ISERROR(MATCH(A34,'liste reference'!$B$8:$B$904,0)),"",(MATCH(A34,'liste reference'!$B$8:$B$904,0))),(MATCH(A34,'liste reference'!$A$8:$A$904,0)))</f>
        <v>210</v>
      </c>
      <c r="AA34" s="444"/>
      <c r="AB34" s="445"/>
      <c r="AC34" s="445"/>
      <c r="BB34" s="233" t="n">
        <f aca="false">IF(A34="","",1)</f>
        <v>1</v>
      </c>
    </row>
    <row r="35" customFormat="false" ht="13.2" hidden="false" customHeight="false" outlineLevel="0" collapsed="false">
      <c r="A35" s="446" t="s">
        <v>1153</v>
      </c>
      <c r="B35" s="447"/>
      <c r="C35" s="448" t="n">
        <v>0.01</v>
      </c>
      <c r="D35" s="430" t="str">
        <f aca="false">IF(ISERROR(VLOOKUP($A35,'liste reference'!$A$7:$D$904,2,0)),IF(ISERROR(VLOOKUP($A35,'liste reference'!$B$7:$D$904,1,0)),"",VLOOKUP($A35,'liste reference'!$B$7:$D$904,1,0)),VLOOKUP($A35,'liste reference'!$A$7:$D$904,2,0))</f>
        <v>Equisetum arvense</v>
      </c>
      <c r="E35" s="449" t="e">
        <f aca="false">IF(D35="",0,VLOOKUP(D35,D$22:D34,1,0))</f>
        <v>#N/A</v>
      </c>
      <c r="F35" s="453" t="n">
        <f aca="false">($B35*$B$7+$C35*$C$7)/100</f>
        <v>0.0058</v>
      </c>
      <c r="G35" s="432" t="str">
        <f aca="false">IF(A35="","",IF(ISERROR(VLOOKUP($A35,'liste reference'!$A$7:$P$904,13,0)),IF(ISERROR(VLOOKUP($A35,'liste reference'!$B$7:$P$904,12,0)),"    -",VLOOKUP($A35,'liste reference'!$B$7:$P$904,12,0)),VLOOKUP($A35,'liste reference'!$A$7:$P$904,13,0)))</f>
        <v>PTE</v>
      </c>
      <c r="H35" s="433" t="n">
        <f aca="false">IF(A35="","x",IF(ISERROR(VLOOKUP($A35,'liste reference'!$A$8:$P$904,14,0)),IF(ISERROR(VLOOKUP($A35,'liste reference'!$B$8:$P$904,13,0)),"x",VLOOKUP($A35,'liste reference'!$B$8:$P$904,13,0)),VLOOKUP($A35,'liste reference'!$A$8:$P$904,14,0)))</f>
        <v>6</v>
      </c>
      <c r="I35" s="434" t="n">
        <f aca="false">IF(ISNUMBER(H35),IF(ISERROR(VLOOKUP($A35,'liste reference'!$A$7:$P$904,3,0)),IF(ISERROR(VLOOKUP($A35,'liste reference'!$B$7:$P$904,2,0)),"",VLOOKUP($A35,'liste reference'!$B$7:$P$904,2,0)),VLOOKUP($A35,'liste reference'!$A$7:$P$904,3,0)),"")</f>
        <v>0</v>
      </c>
      <c r="J35" s="434" t="n">
        <f aca="false">IF(ISNUMBER(H35),IF(ISERROR(VLOOKUP($A35,'liste reference'!$A$7:$P$904,4,0)),IF(ISERROR(VLOOKUP($A35,'liste reference'!$B$7:$P$904,3,0)),"",VLOOKUP($A35,'liste reference'!$B$7:$P$904,3,0)),VLOOKUP($A35,'liste reference'!$A$7:$P$904,4,0)),"")</f>
        <v>0</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Equisetum arvense</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1384</v>
      </c>
      <c r="Q35" s="439" t="n">
        <f aca="false">IF(ISTEXT(H35),"",(B35*$B$7/100)+(C35*$C$7/100))</f>
        <v>0.0058</v>
      </c>
      <c r="R35" s="440" t="n">
        <f aca="false">IF(OR(ISTEXT(H35),Q35=0),"",IF(Q35&lt;0.1,1,IF(Q35&lt;1,2,IF(Q35&lt;10,3,IF(Q35&lt;50,4,IF(Q35&gt;=50,5,""))))))</f>
        <v>1</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EQUARV</v>
      </c>
      <c r="Z35" s="233" t="n">
        <f aca="false">IF(ISERROR(MATCH(A35,'liste reference'!$A$8:$A$904,0)),IF(ISERROR(MATCH(A35,'liste reference'!$B$8:$B$904,0)),"",(MATCH(A35,'liste reference'!$B$8:$B$904,0))),(MATCH(A35,'liste reference'!$A$8:$A$904,0)))</f>
        <v>278</v>
      </c>
      <c r="AA35" s="444"/>
      <c r="AB35" s="445"/>
      <c r="AC35" s="445"/>
      <c r="BB35" s="233" t="n">
        <f aca="false">IF(A35="","",1)</f>
        <v>1</v>
      </c>
    </row>
    <row r="36" customFormat="false" ht="13.2" hidden="false" customHeight="false" outlineLevel="0" collapsed="false">
      <c r="A36" s="446" t="s">
        <v>1477</v>
      </c>
      <c r="B36" s="447" t="n">
        <v>0.01</v>
      </c>
      <c r="C36" s="448" t="n">
        <v>0.05</v>
      </c>
      <c r="D36" s="430" t="str">
        <f aca="false">IF(ISERROR(VLOOKUP($A36,'liste reference'!$A$7:$D$904,2,0)),IF(ISERROR(VLOOKUP($A36,'liste reference'!$B$7:$D$904,1,0)),"",VLOOKUP($A36,'liste reference'!$B$7:$D$904,1,0)),VLOOKUP($A36,'liste reference'!$A$7:$D$904,2,0))</f>
        <v>Potamogeton nodosus</v>
      </c>
      <c r="E36" s="449" t="e">
        <f aca="false">IF(D36="",0,VLOOKUP(D36,D$22:D35,1,0))</f>
        <v>#N/A</v>
      </c>
      <c r="F36" s="453" t="n">
        <f aca="false">($B36*$B$7+$C36*$C$7)/100</f>
        <v>0.0332</v>
      </c>
      <c r="G36" s="432" t="str">
        <f aca="false">IF(A36="","",IF(ISERROR(VLOOKUP($A36,'liste reference'!$A$7:$P$904,13,0)),IF(ISERROR(VLOOKUP($A36,'liste reference'!$B$7:$P$904,12,0)),"    -",VLOOKUP($A36,'liste reference'!$B$7:$P$904,12,0)),VLOOKUP($A36,'liste reference'!$A$7:$P$904,13,0)))</f>
        <v>PHy</v>
      </c>
      <c r="H36" s="433" t="n">
        <f aca="false">IF(A36="","x",IF(ISERROR(VLOOKUP($A36,'liste reference'!$A$8:$P$904,14,0)),IF(ISERROR(VLOOKUP($A36,'liste reference'!$B$8:$P$904,13,0)),"x",VLOOKUP($A36,'liste reference'!$B$8:$P$904,13,0)),VLOOKUP($A36,'liste reference'!$A$8:$P$904,14,0)))</f>
        <v>7</v>
      </c>
      <c r="I36" s="434" t="n">
        <f aca="false">IF(ISNUMBER(H36),IF(ISERROR(VLOOKUP($A36,'liste reference'!$A$7:$P$904,3,0)),IF(ISERROR(VLOOKUP($A36,'liste reference'!$B$7:$P$904,2,0)),"",VLOOKUP($A36,'liste reference'!$B$7:$P$904,2,0)),VLOOKUP($A36,'liste reference'!$A$7:$P$904,3,0)),"")</f>
        <v>4</v>
      </c>
      <c r="J36" s="434" t="n">
        <f aca="false">IF(ISNUMBER(H36),IF(ISERROR(VLOOKUP($A36,'liste reference'!$A$7:$P$904,4,0)),IF(ISERROR(VLOOKUP($A36,'liste reference'!$B$7:$P$904,3,0)),"",VLOOKUP($A36,'liste reference'!$B$7:$P$904,3,0)),VLOOKUP($A36,'liste reference'!$A$7:$P$904,4,0)),"")</f>
        <v>3</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Potamogeton nodosus</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1652</v>
      </c>
      <c r="Q36" s="439" t="n">
        <f aca="false">IF(ISTEXT(H36),"",(B36*$B$7/100)+(C36*$C$7/100))</f>
        <v>0.0332</v>
      </c>
      <c r="R36" s="440" t="n">
        <f aca="false">IF(OR(ISTEXT(H36),Q36=0),"",IF(Q36&lt;0.1,1,IF(Q36&lt;1,2,IF(Q36&lt;10,3,IF(Q36&lt;50,4,IF(Q36&gt;=50,5,""))))))</f>
        <v>1</v>
      </c>
      <c r="S36" s="440" t="n">
        <f aca="false">IF(ISERROR(R36*I36),0,R36*I36)</f>
        <v>4</v>
      </c>
      <c r="T36" s="440" t="n">
        <f aca="false">IF(ISERROR(R36*I36*J36),0,R36*I36*J36)</f>
        <v>12</v>
      </c>
      <c r="U36" s="452" t="n">
        <f aca="false">IF(ISERROR(R36*J36),0,R36*J36)</f>
        <v>3</v>
      </c>
      <c r="V36" s="441" t="str">
        <f aca="false">IF(AND(A36="",F36=0),"",IF(F36=0,"Il manque le(s) % de rec. !",""))</f>
        <v/>
      </c>
      <c r="W36" s="442"/>
      <c r="Y36" s="443" t="str">
        <f aca="false">IF(A36="new.cod","NEWCOD",IF(AND((Z36=""),ISTEXT(A36)),A36,IF(Z36="","",INDEX('liste reference'!$A$8:$A$904,Z36))))</f>
        <v>POTNOD</v>
      </c>
      <c r="Z36" s="233" t="n">
        <f aca="false">IF(ISERROR(MATCH(A36,'liste reference'!$A$8:$A$904,0)),IF(ISERROR(MATCH(A36,'liste reference'!$B$8:$B$904,0)),"",(MATCH(A36,'liste reference'!$B$8:$B$904,0))),(MATCH(A36,'liste reference'!$A$8:$A$904,0)))</f>
        <v>418</v>
      </c>
      <c r="AA36" s="444"/>
      <c r="AB36" s="445"/>
      <c r="AC36" s="445"/>
      <c r="BB36" s="233" t="n">
        <f aca="false">IF(A36="","",1)</f>
        <v>1</v>
      </c>
    </row>
    <row r="37" customFormat="false" ht="13.2" hidden="false" customHeight="false" outlineLevel="0" collapsed="false">
      <c r="A37" s="446" t="s">
        <v>1923</v>
      </c>
      <c r="B37" s="447"/>
      <c r="C37" s="448" t="n">
        <v>0.01</v>
      </c>
      <c r="D37" s="430" t="str">
        <f aca="false">IF(ISERROR(VLOOKUP($A37,'liste reference'!$A$7:$D$904,2,0)),IF(ISERROR(VLOOKUP($A37,'liste reference'!$B$7:$D$904,1,0)),"",VLOOKUP($A37,'liste reference'!$B$7:$D$904,1,0)),VLOOKUP($A37,'liste reference'!$A$7:$D$904,2,0))</f>
        <v>Lysimachia vulgaris</v>
      </c>
      <c r="E37" s="449" t="e">
        <f aca="false">IF(D37="",0,VLOOKUP(D37,D$18:D33,1,0))</f>
        <v>#N/A</v>
      </c>
      <c r="F37" s="453" t="n">
        <f aca="false">($B37*$B$7+$C37*$C$7)/100</f>
        <v>0.0058</v>
      </c>
      <c r="G37" s="432" t="str">
        <f aca="false">IF(A37="","",IF(ISERROR(VLOOKUP($A37,'liste reference'!$A$7:$P$904,13,0)),IF(ISERROR(VLOOKUP($A37,'liste reference'!$B$7:$P$904,12,0)),"    -",VLOOKUP($A37,'liste reference'!$B$7:$P$904,12,0)),VLOOKUP($A37,'liste reference'!$A$7:$P$904,13,0)))</f>
        <v>PHe</v>
      </c>
      <c r="H37" s="433" t="n">
        <f aca="false">IF(A37="","x",IF(ISERROR(VLOOKUP($A37,'liste reference'!$A$8:$P$904,14,0)),IF(ISERROR(VLOOKUP($A37,'liste reference'!$B$8:$P$904,13,0)),"x",VLOOKUP($A37,'liste reference'!$B$8:$P$904,13,0)),VLOOKUP($A37,'liste reference'!$A$8:$P$904,14,0)))</f>
        <v>8</v>
      </c>
      <c r="I37" s="434" t="n">
        <f aca="false">IF(ISNUMBER(H37),IF(ISERROR(VLOOKUP($A37,'liste reference'!$A$7:$P$904,3,0)),IF(ISERROR(VLOOKUP($A37,'liste reference'!$B$7:$P$904,2,0)),"",VLOOKUP($A37,'liste reference'!$B$7:$P$904,2,0)),VLOOKUP($A37,'liste reference'!$A$7:$P$904,3,0)),"")</f>
        <v>0</v>
      </c>
      <c r="J37" s="434" t="n">
        <f aca="false">IF(ISNUMBER(H37),IF(ISERROR(VLOOKUP($A37,'liste reference'!$A$7:$P$904,4,0)),IF(ISERROR(VLOOKUP($A37,'liste reference'!$B$7:$P$904,3,0)),"",VLOOKUP($A37,'liste reference'!$B$7:$P$904,3,0)),VLOOKUP($A37,'liste reference'!$A$7:$P$904,4,0)),"")</f>
        <v>0</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Lysimachia vulgaris</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1887</v>
      </c>
      <c r="Q37" s="439" t="n">
        <f aca="false">IF(ISTEXT(H37),"",(B37*$B$7/100)+(C37*$C$7/100))</f>
        <v>0.0058</v>
      </c>
      <c r="R37" s="440" t="n">
        <f aca="false">IF(OR(ISTEXT(H37),Q37=0),"",IF(Q37&lt;0.1,1,IF(Q37&lt;1,2,IF(Q37&lt;10,3,IF(Q37&lt;50,4,IF(Q37&gt;=50,5,""))))))</f>
        <v>1</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LYSVUL</v>
      </c>
      <c r="Z37" s="233" t="n">
        <f aca="false">IF(ISERROR(MATCH(A37,'liste reference'!$A$8:$A$904,0)),IF(ISERROR(MATCH(A37,'liste reference'!$B$8:$B$904,0)),"",(MATCH(A37,'liste reference'!$B$8:$B$904,0))),(MATCH(A37,'liste reference'!$A$8:$A$904,0)))</f>
        <v>601</v>
      </c>
      <c r="AA37" s="444"/>
      <c r="AB37" s="445"/>
      <c r="AC37" s="445"/>
      <c r="BB37" s="233" t="n">
        <f aca="false">IF(A37="","",1)</f>
        <v>1</v>
      </c>
    </row>
    <row r="38" customFormat="false" ht="13.2" hidden="false" customHeight="false" outlineLevel="0" collapsed="false">
      <c r="A38" s="446" t="s">
        <v>1932</v>
      </c>
      <c r="B38" s="447"/>
      <c r="C38" s="448" t="n">
        <v>0.01</v>
      </c>
      <c r="D38" s="430" t="str">
        <f aca="false">IF(ISERROR(VLOOKUP($A38,'liste reference'!$A$7:$D$904,2,0)),IF(ISERROR(VLOOKUP($A38,'liste reference'!$B$7:$D$904,1,0)),"",VLOOKUP($A38,'liste reference'!$B$7:$D$904,1,0)),VLOOKUP($A38,'liste reference'!$A$7:$D$904,2,0))</f>
        <v>Lythrum salicaria</v>
      </c>
      <c r="E38" s="449" t="e">
        <f aca="false">IF(D38="",0,VLOOKUP(D38,D$22:D37,1,0))</f>
        <v>#N/A</v>
      </c>
      <c r="F38" s="453" t="n">
        <f aca="false">($B38*$B$7+$C38*$C$7)/100</f>
        <v>0.0058</v>
      </c>
      <c r="G38" s="432" t="str">
        <f aca="false">IF(A38="","",IF(ISERROR(VLOOKUP($A38,'liste reference'!$A$7:$P$904,13,0)),IF(ISERROR(VLOOKUP($A38,'liste reference'!$B$7:$P$904,12,0)),"    -",VLOOKUP($A38,'liste reference'!$B$7:$P$904,12,0)),VLOOKUP($A38,'liste reference'!$A$7:$P$904,13,0)))</f>
        <v>PHe</v>
      </c>
      <c r="H38" s="433" t="n">
        <f aca="false">IF(A38="","x",IF(ISERROR(VLOOKUP($A38,'liste reference'!$A$8:$P$904,14,0)),IF(ISERROR(VLOOKUP($A38,'liste reference'!$B$8:$P$904,13,0)),"x",VLOOKUP($A38,'liste reference'!$B$8:$P$904,13,0)),VLOOKUP($A38,'liste reference'!$A$8:$P$904,14,0)))</f>
        <v>8</v>
      </c>
      <c r="I38" s="434" t="n">
        <f aca="false">IF(ISNUMBER(H38),IF(ISERROR(VLOOKUP($A38,'liste reference'!$A$7:$P$904,3,0)),IF(ISERROR(VLOOKUP($A38,'liste reference'!$B$7:$P$904,2,0)),"",VLOOKUP($A38,'liste reference'!$B$7:$P$904,2,0)),VLOOKUP($A38,'liste reference'!$A$7:$P$904,3,0)),"")</f>
        <v>0</v>
      </c>
      <c r="J38" s="434" t="n">
        <f aca="false">IF(ISNUMBER(H38),IF(ISERROR(VLOOKUP($A38,'liste reference'!$A$7:$P$904,4,0)),IF(ISERROR(VLOOKUP($A38,'liste reference'!$B$7:$P$904,3,0)),"",VLOOKUP($A38,'liste reference'!$B$7:$P$904,3,0)),VLOOKUP($A38,'liste reference'!$A$7:$P$904,4,0)),"")</f>
        <v>0</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Lythrum salicaria</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1823</v>
      </c>
      <c r="Q38" s="439" t="n">
        <f aca="false">IF(ISTEXT(H38),"",(B38*$B$7/100)+(C38*$C$7/100))</f>
        <v>0.0058</v>
      </c>
      <c r="R38" s="440" t="n">
        <f aca="false">IF(OR(ISTEXT(H38),Q38=0),"",IF(Q38&lt;0.1,1,IF(Q38&lt;1,2,IF(Q38&lt;10,3,IF(Q38&lt;50,4,IF(Q38&gt;=50,5,""))))))</f>
        <v>1</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LYTSAL</v>
      </c>
      <c r="Z38" s="233" t="n">
        <f aca="false">IF(ISERROR(MATCH(A38,'liste reference'!$A$8:$A$904,0)),IF(ISERROR(MATCH(A38,'liste reference'!$B$8:$B$904,0)),"",(MATCH(A38,'liste reference'!$B$8:$B$904,0))),(MATCH(A38,'liste reference'!$A$8:$A$904,0)))</f>
        <v>605</v>
      </c>
      <c r="AA38" s="444"/>
      <c r="AB38" s="445"/>
      <c r="AC38" s="445"/>
      <c r="BB38" s="233" t="n">
        <f aca="false">IF(A38="","",1)</f>
        <v>1</v>
      </c>
    </row>
    <row r="39" customFormat="false" ht="13.2" hidden="false" customHeight="false" outlineLevel="0" collapsed="false">
      <c r="A39" s="446" t="s">
        <v>1936</v>
      </c>
      <c r="B39" s="447" t="n">
        <v>0.01</v>
      </c>
      <c r="C39" s="448"/>
      <c r="D39" s="430" t="str">
        <f aca="false">IF(ISERROR(VLOOKUP($A39,'liste reference'!$A$7:$D$904,2,0)),IF(ISERROR(VLOOKUP($A39,'liste reference'!$B$7:$D$904,1,0)),"",VLOOKUP($A39,'liste reference'!$B$7:$D$904,1,0)),VLOOKUP($A39,'liste reference'!$A$7:$D$904,2,0))</f>
        <v>Mentha aquatica</v>
      </c>
      <c r="E39" s="449" t="e">
        <f aca="false">IF(D39="",0,VLOOKUP(D39,D$22:D38,1,0))</f>
        <v>#N/A</v>
      </c>
      <c r="F39" s="453" t="n">
        <f aca="false">($B39*$B$7+$C39*$C$7)/100</f>
        <v>0.0042</v>
      </c>
      <c r="G39" s="432" t="str">
        <f aca="false">IF(A39="","",IF(ISERROR(VLOOKUP($A39,'liste reference'!$A$7:$P$904,13,0)),IF(ISERROR(VLOOKUP($A39,'liste reference'!$B$7:$P$904,12,0)),"    -",VLOOKUP($A39,'liste reference'!$B$7:$P$904,12,0)),VLOOKUP($A39,'liste reference'!$A$7:$P$904,13,0)))</f>
        <v>PHe</v>
      </c>
      <c r="H39" s="433" t="n">
        <f aca="false">IF(A39="","x",IF(ISERROR(VLOOKUP($A39,'liste reference'!$A$8:$P$904,14,0)),IF(ISERROR(VLOOKUP($A39,'liste reference'!$B$8:$P$904,13,0)),"x",VLOOKUP($A39,'liste reference'!$B$8:$P$904,13,0)),VLOOKUP($A39,'liste reference'!$A$8:$P$904,14,0)))</f>
        <v>8</v>
      </c>
      <c r="I39" s="434" t="n">
        <f aca="false">IF(ISNUMBER(H39),IF(ISERROR(VLOOKUP($A39,'liste reference'!$A$7:$P$904,3,0)),IF(ISERROR(VLOOKUP($A39,'liste reference'!$B$7:$P$904,2,0)),"",VLOOKUP($A39,'liste reference'!$B$7:$P$904,2,0)),VLOOKUP($A39,'liste reference'!$A$7:$P$904,3,0)),"")</f>
        <v>12</v>
      </c>
      <c r="J39" s="434" t="n">
        <f aca="false">IF(ISNUMBER(H39),IF(ISERROR(VLOOKUP($A39,'liste reference'!$A$7:$P$904,4,0)),IF(ISERROR(VLOOKUP($A39,'liste reference'!$B$7:$P$904,3,0)),"",VLOOKUP($A39,'liste reference'!$B$7:$P$904,3,0)),VLOOKUP($A39,'liste reference'!$A$7:$P$904,4,0)),"")</f>
        <v>1</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Mentha aquatica</v>
      </c>
      <c r="L39" s="451"/>
      <c r="M39" s="451"/>
      <c r="N39" s="451"/>
      <c r="O39" s="437" t="s">
        <v>2679</v>
      </c>
      <c r="P39" s="438" t="n">
        <f aca="false">IF($A39="NEWCOD",IF($AC39="","No",$AC39),IF(ISTEXT($E39),"DEJA SAISI !",IF($A39="","",IF(ISERROR(VLOOKUP($A39,'liste reference'!A:S,19,FALSE())),IF(ISERROR(VLOOKUP($A39,'liste reference'!B:S,19,FALSE())),"",VLOOKUP($A39,'liste reference'!B:S,19,FALSE())),VLOOKUP($A39,'liste reference'!A:S,19,FALSE())))))</f>
        <v>1791</v>
      </c>
      <c r="Q39" s="439" t="n">
        <f aca="false">IF(ISTEXT(H39),"",(B39*$B$7/100)+(C39*$C$7/100))</f>
        <v>0.0042</v>
      </c>
      <c r="R39" s="440" t="n">
        <f aca="false">IF(OR(ISTEXT(H39),Q39=0),"",IF(Q39&lt;0.1,1,IF(Q39&lt;1,2,IF(Q39&lt;10,3,IF(Q39&lt;50,4,IF(Q39&gt;=50,5,""))))))</f>
        <v>1</v>
      </c>
      <c r="S39" s="440" t="n">
        <f aca="false">IF(ISERROR(R39*I39),0,R39*I39)</f>
        <v>12</v>
      </c>
      <c r="T39" s="440" t="n">
        <f aca="false">IF(ISERROR(R39*I39*J39),0,R39*I39*J39)</f>
        <v>12</v>
      </c>
      <c r="U39" s="452" t="n">
        <f aca="false">IF(ISERROR(R39*J39),0,R39*J39)</f>
        <v>1</v>
      </c>
      <c r="V39" s="441" t="str">
        <f aca="false">IF(AND(A39="",F39=0),"",IF(F39=0,"Il manque le(s) % de rec. !",""))</f>
        <v/>
      </c>
      <c r="W39" s="454"/>
      <c r="Y39" s="443" t="str">
        <f aca="false">IF(A39="new.cod","NEWCOD",IF(AND((Z39=""),ISTEXT(A39)),A39,IF(Z39="","",INDEX('liste reference'!$A$8:$A$904,Z39))))</f>
        <v>MENAQU</v>
      </c>
      <c r="Z39" s="233" t="n">
        <f aca="false">IF(ISERROR(MATCH(A39,'liste reference'!$A$8:$A$904,0)),IF(ISERROR(MATCH(A39,'liste reference'!$B$8:$B$904,0)),"",(MATCH(A39,'liste reference'!$B$8:$B$904,0))),(MATCH(A39,'liste reference'!$A$8:$A$904,0)))</f>
        <v>607</v>
      </c>
      <c r="AA39" s="444" t="s">
        <v>2679</v>
      </c>
      <c r="AB39" s="445"/>
      <c r="AC39" s="445"/>
      <c r="BB39" s="233" t="n">
        <f aca="false">IF(A39="","",1)</f>
        <v>1</v>
      </c>
    </row>
    <row r="40" customFormat="false" ht="13.2" hidden="false" customHeight="false" outlineLevel="0" collapsed="false">
      <c r="A40" s="446" t="s">
        <v>2002</v>
      </c>
      <c r="B40" s="447"/>
      <c r="C40" s="448" t="n">
        <v>0.01</v>
      </c>
      <c r="D40" s="430" t="str">
        <f aca="false">IF(ISERROR(VLOOKUP($A40,'liste reference'!$A$7:$D$904,2,0)),IF(ISERROR(VLOOKUP($A40,'liste reference'!$B$7:$D$904,1,0)),"",VLOOKUP($A40,'liste reference'!$B$7:$D$904,1,0)),VLOOKUP($A40,'liste reference'!$A$7:$D$904,2,0))</f>
        <v>Phragmites australis</v>
      </c>
      <c r="E40" s="449" t="e">
        <f aca="false">IF(D40="",0,VLOOKUP(D40,D$22:D39,1,0))</f>
        <v>#N/A</v>
      </c>
      <c r="F40" s="453" t="n">
        <f aca="false">($B40*$B$7+$C40*$C$7)/100</f>
        <v>0.0058</v>
      </c>
      <c r="G40" s="432" t="str">
        <f aca="false">IF(A40="","",IF(ISERROR(VLOOKUP($A40,'liste reference'!$A$7:$P$904,13,0)),IF(ISERROR(VLOOKUP($A40,'liste reference'!$B$7:$P$904,12,0)),"    -",VLOOKUP($A40,'liste reference'!$B$7:$P$904,12,0)),VLOOKUP($A40,'liste reference'!$A$7:$P$904,13,0)))</f>
        <v>PHe</v>
      </c>
      <c r="H40" s="433" t="n">
        <f aca="false">IF(A40="","x",IF(ISERROR(VLOOKUP($A40,'liste reference'!$A$8:$P$904,14,0)),IF(ISERROR(VLOOKUP($A40,'liste reference'!$B$8:$P$904,13,0)),"x",VLOOKUP($A40,'liste reference'!$B$8:$P$904,13,0)),VLOOKUP($A40,'liste reference'!$A$8:$P$904,14,0)))</f>
        <v>8</v>
      </c>
      <c r="I40" s="434" t="n">
        <f aca="false">IF(ISNUMBER(H40),IF(ISERROR(VLOOKUP($A40,'liste reference'!$A$7:$P$904,3,0)),IF(ISERROR(VLOOKUP($A40,'liste reference'!$B$7:$P$904,2,0)),"",VLOOKUP($A40,'liste reference'!$B$7:$P$904,2,0)),VLOOKUP($A40,'liste reference'!$A$7:$P$904,3,0)),"")</f>
        <v>9</v>
      </c>
      <c r="J40" s="434" t="n">
        <f aca="false">IF(ISNUMBER(H40),IF(ISERROR(VLOOKUP($A40,'liste reference'!$A$7:$P$904,4,0)),IF(ISERROR(VLOOKUP($A40,'liste reference'!$B$7:$P$904,3,0)),"",VLOOKUP($A40,'liste reference'!$B$7:$P$904,3,0)),VLOOKUP($A40,'liste reference'!$A$7:$P$904,4,0)),"")</f>
        <v>2</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Phragmites australis</v>
      </c>
      <c r="L40" s="451"/>
      <c r="M40" s="451"/>
      <c r="N40" s="451"/>
      <c r="O40" s="437"/>
      <c r="P40" s="438" t="n">
        <f aca="false">IF($A40="NEWCOD",IF($AC40="","No",$AC40),IF(ISTEXT($E40),"DEJA SAISI !",IF($A40="","",IF(ISERROR(VLOOKUP($A40,'liste reference'!A:S,19,FALSE())),IF(ISERROR(VLOOKUP($A40,'liste reference'!B:S,19,FALSE())),"",VLOOKUP($A40,'liste reference'!B:S,19,FALSE())),VLOOKUP($A40,'liste reference'!A:S,19,FALSE())))))</f>
        <v>1579</v>
      </c>
      <c r="Q40" s="439" t="n">
        <f aca="false">IF(ISTEXT(H40),"",(B40*$B$7/100)+(C40*$C$7/100))</f>
        <v>0.0058</v>
      </c>
      <c r="R40" s="440" t="n">
        <f aca="false">IF(OR(ISTEXT(H40),Q40=0),"",IF(Q40&lt;0.1,1,IF(Q40&lt;1,2,IF(Q40&lt;10,3,IF(Q40&lt;50,4,IF(Q40&gt;=50,5,""))))))</f>
        <v>1</v>
      </c>
      <c r="S40" s="440" t="n">
        <f aca="false">IF(ISERROR(R40*I40),0,R40*I40)</f>
        <v>9</v>
      </c>
      <c r="T40" s="440" t="n">
        <f aca="false">IF(ISERROR(R40*I40*J40),0,R40*I40*J40)</f>
        <v>18</v>
      </c>
      <c r="U40" s="452" t="n">
        <f aca="false">IF(ISERROR(R40*J40),0,R40*J40)</f>
        <v>2</v>
      </c>
      <c r="V40" s="441" t="str">
        <f aca="false">IF(AND(A40="",F40=0),"",IF(F40=0,"Il manque le(s) % de rec. !",""))</f>
        <v/>
      </c>
      <c r="W40" s="442"/>
      <c r="Y40" s="443" t="str">
        <f aca="false">IF(A40="new.cod","NEWCOD",IF(AND((Z40=""),ISTEXT(A40)),A40,IF(Z40="","",INDEX('liste reference'!$A$8:$A$904,Z40))))</f>
        <v>PHRAUS</v>
      </c>
      <c r="Z40" s="233" t="n">
        <f aca="false">IF(ISERROR(MATCH(A40,'liste reference'!$A$8:$A$904,0)),IF(ISERROR(MATCH(A40,'liste reference'!$B$8:$B$904,0)),"",(MATCH(A40,'liste reference'!$B$8:$B$904,0))),(MATCH(A40,'liste reference'!$A$8:$A$904,0)))</f>
        <v>635</v>
      </c>
      <c r="AA40" s="444"/>
      <c r="AB40" s="445"/>
      <c r="AC40" s="445"/>
      <c r="BB40" s="233" t="n">
        <f aca="false">IF(A40="","",1)</f>
        <v>1</v>
      </c>
    </row>
    <row r="41" customFormat="false" ht="13.2" hidden="false" customHeight="false" outlineLevel="0" collapsed="false">
      <c r="A41" s="446" t="s">
        <v>2068</v>
      </c>
      <c r="B41" s="447" t="n">
        <v>0.01</v>
      </c>
      <c r="C41" s="448"/>
      <c r="D41" s="430" t="str">
        <f aca="false">IF(ISERROR(VLOOKUP($A41,'liste reference'!$A$7:$D$904,2,0)),IF(ISERROR(VLOOKUP($A41,'liste reference'!$B$7:$D$904,1,0)),"",VLOOKUP($A41,'liste reference'!$B$7:$D$904,1,0)),VLOOKUP($A41,'liste reference'!$A$7:$D$904,2,0))</f>
        <v>Scirpus lacustris</v>
      </c>
      <c r="E41" s="449" t="e">
        <f aca="false">IF(D41="",0,VLOOKUP(D41,D$22:D40,1,0))</f>
        <v>#N/A</v>
      </c>
      <c r="F41" s="453" t="n">
        <f aca="false">($B41*$B$7+$C41*$C$7)/100</f>
        <v>0.0042</v>
      </c>
      <c r="G41" s="432" t="str">
        <f aca="false">IF(A41="","",IF(ISERROR(VLOOKUP($A41,'liste reference'!$A$7:$P$904,13,0)),IF(ISERROR(VLOOKUP($A41,'liste reference'!$B$7:$P$904,12,0)),"    -",VLOOKUP($A41,'liste reference'!$B$7:$P$904,12,0)),VLOOKUP($A41,'liste reference'!$A$7:$P$904,13,0)))</f>
        <v>PHe</v>
      </c>
      <c r="H41" s="433" t="n">
        <f aca="false">IF(A41="","x",IF(ISERROR(VLOOKUP($A41,'liste reference'!$A$8:$P$904,14,0)),IF(ISERROR(VLOOKUP($A41,'liste reference'!$B$8:$P$904,13,0)),"x",VLOOKUP($A41,'liste reference'!$B$8:$P$904,13,0)),VLOOKUP($A41,'liste reference'!$A$8:$P$904,14,0)))</f>
        <v>8</v>
      </c>
      <c r="I41" s="434" t="n">
        <f aca="false">IF(ISNUMBER(H41),IF(ISERROR(VLOOKUP($A41,'liste reference'!$A$7:$P$904,3,0)),IF(ISERROR(VLOOKUP($A41,'liste reference'!$B$7:$P$904,2,0)),"",VLOOKUP($A41,'liste reference'!$B$7:$P$904,2,0)),VLOOKUP($A41,'liste reference'!$A$7:$P$904,3,0)),"")</f>
        <v>8</v>
      </c>
      <c r="J41" s="434" t="n">
        <f aca="false">IF(ISNUMBER(H41),IF(ISERROR(VLOOKUP($A41,'liste reference'!$A$7:$P$904,4,0)),IF(ISERROR(VLOOKUP($A41,'liste reference'!$B$7:$P$904,3,0)),"",VLOOKUP($A41,'liste reference'!$B$7:$P$904,3,0)),VLOOKUP($A41,'liste reference'!$A$7:$P$904,4,0)),"")</f>
        <v>2</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Scirpus lacustris</v>
      </c>
      <c r="L41" s="451"/>
      <c r="M41" s="451"/>
      <c r="N41" s="451"/>
      <c r="O41" s="437"/>
      <c r="P41" s="438" t="n">
        <f aca="false">IF($A41="NEWCOD",IF($AC41="","No",$AC41),IF(ISTEXT($E41),"DEJA SAISI !",IF($A41="","",IF(ISERROR(VLOOKUP($A41,'liste reference'!A:S,19,FALSE())),IF(ISERROR(VLOOKUP($A41,'liste reference'!B:S,19,FALSE())),"",VLOOKUP($A41,'liste reference'!B:S,19,FALSE())),VLOOKUP($A41,'liste reference'!A:S,19,FALSE())))))</f>
        <v>1520</v>
      </c>
      <c r="Q41" s="439" t="n">
        <f aca="false">IF(ISTEXT(H41),"",(B41*$B$7/100)+(C41*$C$7/100))</f>
        <v>0.0042</v>
      </c>
      <c r="R41" s="440" t="n">
        <f aca="false">IF(OR(ISTEXT(H41),Q41=0),"",IF(Q41&lt;0.1,1,IF(Q41&lt;1,2,IF(Q41&lt;10,3,IF(Q41&lt;50,4,IF(Q41&gt;=50,5,""))))))</f>
        <v>1</v>
      </c>
      <c r="S41" s="440" t="n">
        <f aca="false">IF(ISERROR(R41*I41),0,R41*I41)</f>
        <v>8</v>
      </c>
      <c r="T41" s="440" t="n">
        <f aca="false">IF(ISERROR(R41*I41*J41),0,R41*I41*J41)</f>
        <v>16</v>
      </c>
      <c r="U41" s="452" t="n">
        <f aca="false">IF(ISERROR(R41*J41),0,R41*J41)</f>
        <v>2</v>
      </c>
      <c r="V41" s="441" t="str">
        <f aca="false">IF(AND(A41="",F41=0),"",IF(F41=0,"Il manque le(s) % de rec. !",""))</f>
        <v/>
      </c>
      <c r="W41" s="442"/>
      <c r="Y41" s="443" t="str">
        <f aca="false">IF(A41="new.cod","NEWCOD",IF(AND((Z41=""),ISTEXT(A41)),A41,IF(Z41="","",INDEX('liste reference'!$A$8:$A$904,Z41))))</f>
        <v>SCILAC</v>
      </c>
      <c r="Z41" s="233" t="n">
        <f aca="false">IF(ISERROR(MATCH(A41,'liste reference'!$A$8:$A$904,0)),IF(ISERROR(MATCH(A41,'liste reference'!$B$8:$B$904,0)),"",(MATCH(A41,'liste reference'!$B$8:$B$904,0))),(MATCH(A41,'liste reference'!$A$8:$A$904,0)))</f>
        <v>663</v>
      </c>
      <c r="AA41" s="444"/>
      <c r="AB41" s="445"/>
      <c r="AC41" s="445"/>
      <c r="BB41" s="233" t="n">
        <f aca="false">IF(A41="","",1)</f>
        <v>1</v>
      </c>
    </row>
    <row r="42" customFormat="false" ht="13.2"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3"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3.2"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3"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3.2"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3"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3.2"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3"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3.2"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3"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3.2"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3"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3"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3"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3"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3"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3"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3"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3"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3"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3"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3"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3"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3"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3"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3"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3"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3"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3"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3"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3"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3"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3"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3"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3"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3"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3"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3"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3"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3"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3"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3"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3"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3"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3"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3"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ORBIEU</v>
      </c>
      <c r="B84" s="482" t="str">
        <f aca="false">C3</f>
        <v>Ribaute</v>
      </c>
      <c r="C84" s="483" t="n">
        <f aca="false">A4</f>
        <v>41842</v>
      </c>
      <c r="D84" s="484" t="n">
        <f aca="false">IF(ISERROR(SUM($T$23:$T$82)/SUM($U$23:$U$82)),"",SUM($T$23:$T$82)/SUM($U$23:$U$82))</f>
        <v>10.037037037037</v>
      </c>
      <c r="E84" s="485" t="n">
        <f aca="false">N13</f>
        <v>19</v>
      </c>
      <c r="F84" s="482" t="n">
        <f aca="false">N14</f>
        <v>19</v>
      </c>
      <c r="G84" s="482" t="n">
        <f aca="false">N15</f>
        <v>5</v>
      </c>
      <c r="H84" s="482" t="n">
        <f aca="false">N16</f>
        <v>6</v>
      </c>
      <c r="I84" s="482" t="n">
        <f aca="false">N17</f>
        <v>1</v>
      </c>
      <c r="J84" s="486" t="n">
        <f aca="false">N8</f>
        <v>6.42105263157895</v>
      </c>
      <c r="K84" s="484" t="n">
        <f aca="false">N9</f>
        <v>5.393131982084</v>
      </c>
      <c r="L84" s="485" t="n">
        <f aca="false">N10</f>
        <v>0</v>
      </c>
      <c r="M84" s="485" t="n">
        <f aca="false">N11</f>
        <v>13</v>
      </c>
      <c r="N84" s="484" t="n">
        <f aca="false">O8</f>
        <v>1.05263157894737</v>
      </c>
      <c r="O84" s="484" t="n">
        <f aca="false">O9</f>
        <v>0.944439918154019</v>
      </c>
      <c r="P84" s="485" t="n">
        <f aca="false">O10</f>
        <v>0</v>
      </c>
      <c r="Q84" s="485" t="n">
        <f aca="false">O11</f>
        <v>3</v>
      </c>
      <c r="R84" s="485" t="n">
        <f aca="false">F21</f>
        <v>11.1172</v>
      </c>
      <c r="S84" s="485" t="n">
        <f aca="false">K11</f>
        <v>0</v>
      </c>
      <c r="T84" s="485" t="n">
        <f aca="false">K12</f>
        <v>7</v>
      </c>
      <c r="U84" s="485" t="n">
        <f aca="false">K13</f>
        <v>5</v>
      </c>
      <c r="V84" s="487" t="n">
        <f aca="false">K14</f>
        <v>1</v>
      </c>
      <c r="W84" s="488" t="n">
        <f aca="false">K15</f>
        <v>6</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2681</v>
      </c>
      <c r="R86" s="233"/>
      <c r="S86" s="441"/>
      <c r="T86" s="233"/>
      <c r="U86" s="233"/>
      <c r="V86" s="233"/>
    </row>
    <row r="87" customFormat="false" ht="13.2" hidden="true" customHeight="false" outlineLevel="0" collapsed="false">
      <c r="P87" s="233"/>
      <c r="Q87" s="233" t="s">
        <v>2682</v>
      </c>
      <c r="R87" s="233"/>
      <c r="S87" s="441" t="n">
        <f aca="false">VLOOKUP(MAX($S$23:$S$82),($S$23:$U$82),1,0)</f>
        <v>30</v>
      </c>
      <c r="T87" s="233"/>
      <c r="U87" s="233"/>
      <c r="V87" s="233"/>
    </row>
    <row r="88" customFormat="false" ht="13.2" hidden="true" customHeight="false" outlineLevel="0" collapsed="false">
      <c r="P88" s="233"/>
      <c r="Q88" s="233" t="s">
        <v>2683</v>
      </c>
      <c r="R88" s="233"/>
      <c r="S88" s="441" t="n">
        <f aca="false">VLOOKUP((S87),($S$23:$U$82),2,0)</f>
        <v>30</v>
      </c>
      <c r="T88" s="233"/>
      <c r="U88" s="233"/>
      <c r="V88" s="233"/>
    </row>
    <row r="89" customFormat="false" ht="13.2" hidden="true" customHeight="false" outlineLevel="0" collapsed="false">
      <c r="Q89" s="233" t="s">
        <v>2684</v>
      </c>
      <c r="R89" s="233"/>
      <c r="S89" s="441" t="n">
        <f aca="false">VLOOKUP((S87),($S$23:$U$82),3,0)</f>
        <v>3</v>
      </c>
      <c r="T89" s="233"/>
    </row>
    <row r="90" customFormat="false" ht="13.2" hidden="false" customHeight="false" outlineLevel="0" collapsed="false">
      <c r="Q90" s="233" t="s">
        <v>2685</v>
      </c>
      <c r="R90" s="233"/>
      <c r="S90" s="491" t="n">
        <f aca="false">IF(ISERROR(SUM($T$23:$T$82)/SUM($U$23:$U$82)),"",(SUM($T$23:$T$82)-S88)/(SUM($U$23:$U$82)-S89))</f>
        <v>10.0416666666667</v>
      </c>
      <c r="T90" s="233"/>
    </row>
    <row r="91" customFormat="false" ht="13.2" hidden="false" customHeight="false" outlineLevel="0" collapsed="false">
      <c r="Q91" s="440" t="s">
        <v>2686</v>
      </c>
      <c r="R91" s="440"/>
      <c r="S91" s="440" t="str">
        <f aca="false">INDEX('liste reference'!$A$8:$A$904,$T$91)</f>
        <v>SPISPX</v>
      </c>
      <c r="T91" s="233" t="n">
        <f aca="false">IF(ISERROR(MATCH($S$93,'liste reference'!$A$8:$A$904,0)),MATCH($S$93,'liste reference'!$B$8:$B$904,0),(MATCH($S$93,'liste reference'!$A$8:$A$904,0)))</f>
        <v>69</v>
      </c>
      <c r="U91" s="480"/>
    </row>
    <row r="92" customFormat="false" ht="13.2" hidden="false" customHeight="false" outlineLevel="0" collapsed="false">
      <c r="Q92" s="233" t="s">
        <v>2687</v>
      </c>
      <c r="R92" s="233"/>
      <c r="S92" s="233" t="n">
        <f aca="false">MATCH(S87,$S$23:$S$82,0)</f>
        <v>7</v>
      </c>
      <c r="T92" s="233"/>
    </row>
    <row r="93" customFormat="false" ht="13.2" hidden="false" customHeight="false" outlineLevel="0" collapsed="false">
      <c r="Q93" s="440" t="s">
        <v>2688</v>
      </c>
      <c r="R93" s="233"/>
      <c r="S93" s="440" t="str">
        <f aca="false">INDEX($A$23:$A$82,$S$92)</f>
        <v>SPISPX</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3.2" hidden="false" customHeight="false" outlineLevel="0" collapsed="false">
      <c r="B114" s="498"/>
      <c r="C114" s="498"/>
      <c r="D114" s="498"/>
      <c r="E114" s="498"/>
      <c r="F114" s="498"/>
      <c r="G114" s="498"/>
      <c r="H114" s="498"/>
      <c r="I114" s="498"/>
      <c r="J114" s="498"/>
      <c r="K114" s="498"/>
      <c r="L114" s="498"/>
    </row>
    <row r="115" customFormat="false" ht="13.2" hidden="false" customHeight="false" outlineLevel="0" collapsed="false">
      <c r="B115" s="498"/>
      <c r="C115" s="498"/>
      <c r="D115" s="498"/>
      <c r="E115" s="498"/>
      <c r="F115" s="498"/>
      <c r="G115" s="498"/>
      <c r="H115" s="498"/>
      <c r="I115" s="498"/>
      <c r="J115" s="498"/>
      <c r="K115" s="498"/>
      <c r="L115" s="498"/>
    </row>
    <row r="116" customFormat="false" ht="13.2" hidden="false" customHeight="false" outlineLevel="0" collapsed="false">
      <c r="B116" s="498"/>
      <c r="C116" s="498"/>
      <c r="D116" s="498"/>
      <c r="E116" s="498"/>
      <c r="F116" s="498"/>
      <c r="G116" s="498"/>
      <c r="H116" s="498"/>
      <c r="I116" s="498"/>
      <c r="J116" s="498"/>
      <c r="K116" s="498"/>
    </row>
    <row r="117" customFormat="false" ht="13.2" hidden="false" customHeight="false" outlineLevel="0" collapsed="false">
      <c r="B117" s="498"/>
      <c r="C117" s="498"/>
      <c r="D117" s="498"/>
      <c r="E117" s="498"/>
      <c r="F117" s="498"/>
      <c r="G117" s="498"/>
      <c r="H117" s="498"/>
      <c r="I117" s="498"/>
      <c r="J117" s="498"/>
      <c r="K117" s="498"/>
    </row>
    <row r="118" customFormat="false" ht="13.2" hidden="false" customHeight="false" outlineLevel="0" collapsed="false">
      <c r="B118" s="498"/>
      <c r="C118" s="498"/>
      <c r="D118" s="498"/>
      <c r="E118" s="498"/>
      <c r="F118" s="498"/>
      <c r="G118" s="498"/>
      <c r="H118" s="498"/>
      <c r="I118" s="498"/>
      <c r="J118" s="498"/>
      <c r="K118" s="498"/>
    </row>
    <row r="119" customFormat="false" ht="13.2" hidden="false" customHeight="false" outlineLevel="0" collapsed="false">
      <c r="B119" s="498"/>
      <c r="C119" s="498"/>
      <c r="D119" s="498"/>
      <c r="E119" s="498"/>
      <c r="F119" s="498"/>
      <c r="G119" s="498"/>
      <c r="H119" s="498"/>
      <c r="I119" s="498"/>
      <c r="J119" s="498"/>
      <c r="K119" s="498"/>
    </row>
    <row r="120" customFormat="false" ht="13.2" hidden="false" customHeight="false" outlineLevel="0" collapsed="false">
      <c r="B120" s="498"/>
      <c r="C120" s="498"/>
      <c r="D120" s="498"/>
      <c r="E120" s="498"/>
      <c r="F120" s="498"/>
      <c r="G120" s="498"/>
      <c r="H120" s="498"/>
      <c r="I120" s="498"/>
      <c r="J120" s="498"/>
      <c r="K120" s="498"/>
    </row>
    <row r="121" customFormat="false" ht="13.2" hidden="false" customHeight="false" outlineLevel="0" collapsed="false">
      <c r="B121" s="498"/>
      <c r="C121" s="498"/>
      <c r="D121" s="498"/>
      <c r="E121" s="498"/>
      <c r="F121" s="498"/>
      <c r="G121" s="498"/>
      <c r="H121" s="498"/>
      <c r="I121" s="498"/>
      <c r="J121" s="498"/>
      <c r="K121" s="498"/>
    </row>
    <row r="122" customFormat="false" ht="13.2" hidden="false" customHeight="false" outlineLevel="0" collapsed="false">
      <c r="B122" s="498"/>
      <c r="C122" s="498"/>
      <c r="D122" s="498"/>
      <c r="E122" s="498"/>
      <c r="F122" s="498"/>
      <c r="G122" s="498"/>
      <c r="H122" s="498"/>
      <c r="I122" s="498"/>
      <c r="J122" s="498"/>
      <c r="K122" s="498"/>
    </row>
    <row r="123" customFormat="false" ht="13.2" hidden="false" customHeight="false" outlineLevel="0" collapsed="false">
      <c r="B123" s="498"/>
      <c r="C123" s="498"/>
      <c r="D123" s="498"/>
      <c r="E123" s="498"/>
      <c r="F123" s="498"/>
      <c r="G123" s="498"/>
      <c r="H123" s="498"/>
      <c r="I123" s="498"/>
      <c r="J123" s="498"/>
      <c r="K123" s="498"/>
    </row>
    <row r="124" customFormat="false" ht="13.2" hidden="false" customHeight="false" outlineLevel="0" collapsed="false">
      <c r="B124" s="498"/>
      <c r="C124" s="498"/>
      <c r="D124" s="498"/>
      <c r="E124" s="498"/>
      <c r="F124" s="498"/>
      <c r="G124" s="498"/>
      <c r="H124" s="498"/>
      <c r="I124" s="498"/>
      <c r="J124" s="498"/>
      <c r="K124" s="498"/>
    </row>
    <row r="125" customFormat="false" ht="13.2" hidden="false" customHeight="false" outlineLevel="0" collapsed="false">
      <c r="B125" s="498"/>
      <c r="C125" s="498"/>
      <c r="D125" s="498"/>
      <c r="E125" s="498"/>
      <c r="F125" s="498"/>
      <c r="G125" s="498"/>
      <c r="H125" s="498"/>
      <c r="I125" s="498"/>
      <c r="J125" s="498"/>
      <c r="K125" s="498"/>
    </row>
    <row r="126" customFormat="false" ht="13.2" hidden="false" customHeight="false" outlineLevel="0" collapsed="false">
      <c r="B126" s="498"/>
      <c r="C126" s="498"/>
      <c r="D126" s="498"/>
      <c r="E126" s="498"/>
      <c r="F126" s="498"/>
      <c r="G126" s="498"/>
      <c r="H126" s="498"/>
      <c r="I126" s="498"/>
      <c r="J126" s="498"/>
      <c r="K126" s="498"/>
    </row>
    <row r="127" customFormat="false" ht="13.2" hidden="false" customHeight="false" outlineLevel="0" collapsed="false">
      <c r="B127" s="498"/>
      <c r="C127" s="498"/>
      <c r="D127" s="498"/>
      <c r="E127" s="498"/>
      <c r="F127" s="498"/>
      <c r="G127" s="498"/>
      <c r="H127" s="498"/>
      <c r="I127" s="498"/>
      <c r="J127" s="498"/>
      <c r="K127" s="498"/>
    </row>
    <row r="396" customFormat="false" ht="13.2" hidden="false" customHeight="false" outlineLevel="0" collapsed="false">
      <c r="D396" s="0" t="s">
        <v>2693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8"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8"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3.2"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8"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3.2"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3.2"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3.2"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3.2"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3.2"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4"/>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3.2"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3.2"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3.2"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3.2"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3.2"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3.2"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3.2"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3"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3.2"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3"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3.2"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3"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3.2"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3"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3.2"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3"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3.2"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3"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3.2"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3"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3.2"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3"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3.2"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3"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3.2"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3"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3.2"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3"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3.2"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3"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3.2"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3"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3.2"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3"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3"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3"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3"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3"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3"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3"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3"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3"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3"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3"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3"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3"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3"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3"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3"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3"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3"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3"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3"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3"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3"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3"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3"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3"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3"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3"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3"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3"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3"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3"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3"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3"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3"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3"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2681</v>
      </c>
      <c r="R86" s="233"/>
      <c r="S86" s="441"/>
      <c r="T86" s="233"/>
      <c r="U86" s="233"/>
      <c r="V86" s="233"/>
    </row>
    <row r="87" customFormat="false" ht="13.2" hidden="true" customHeight="false" outlineLevel="0" collapsed="false">
      <c r="P87" s="233"/>
      <c r="Q87" s="233" t="s">
        <v>2682</v>
      </c>
      <c r="R87" s="233"/>
      <c r="S87" s="441" t="n">
        <f aca="false">VLOOKUP(MAX($S$23:$S$82),($S$23:$U$82),1,0)</f>
        <v>0</v>
      </c>
      <c r="T87" s="233"/>
      <c r="U87" s="233"/>
      <c r="V87" s="233"/>
    </row>
    <row r="88" customFormat="false" ht="13.2" hidden="true" customHeight="false" outlineLevel="0" collapsed="false">
      <c r="P88" s="233"/>
      <c r="Q88" s="233" t="s">
        <v>2683</v>
      </c>
      <c r="R88" s="233"/>
      <c r="S88" s="441" t="n">
        <f aca="false">VLOOKUP((S87),($S$23:$U$82),2,0)</f>
        <v>0</v>
      </c>
      <c r="T88" s="233"/>
      <c r="U88" s="233"/>
      <c r="V88" s="233"/>
    </row>
    <row r="89" customFormat="false" ht="13.2" hidden="true" customHeight="false" outlineLevel="0" collapsed="false">
      <c r="Q89" s="233" t="s">
        <v>2684</v>
      </c>
      <c r="R89" s="233"/>
      <c r="S89" s="441" t="n">
        <f aca="false">VLOOKUP((S87),($S$23:$U$82),3,0)</f>
        <v>0</v>
      </c>
      <c r="T89" s="233"/>
    </row>
    <row r="90" customFormat="false" ht="13.2" hidden="false" customHeight="false" outlineLevel="0" collapsed="false">
      <c r="Q90" s="233" t="s">
        <v>2685</v>
      </c>
      <c r="R90" s="233"/>
      <c r="S90" s="491" t="str">
        <f aca="false">IF(ISERROR(SUM($T$23:$T$82)/SUM($U$23:$U$82)),"",(SUM($T$23:$T$82)-S88)/(SUM($U$23:$U$82)-S89))</f>
        <v/>
      </c>
      <c r="T90" s="233"/>
    </row>
    <row r="91" customFormat="false" ht="13.2"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3.2" hidden="false" customHeight="false" outlineLevel="0" collapsed="false">
      <c r="Q92" s="233" t="s">
        <v>2687</v>
      </c>
      <c r="R92" s="233"/>
      <c r="S92" s="233" t="n">
        <f aca="false">MATCH(S87,$S$23:$S$82,0)</f>
        <v>1</v>
      </c>
      <c r="T92" s="233"/>
    </row>
    <row r="93" customFormat="false" ht="13.2" hidden="false" customHeight="false" outlineLevel="0" collapsed="false">
      <c r="Q93" s="440" t="s">
        <v>2688</v>
      </c>
      <c r="R93" s="233"/>
      <c r="S93" s="440" t="n">
        <f aca="false">INDEX($A$23:$A$82,$S$92)</f>
        <v>0</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2701</v>
      </c>
      <c r="B1" s="549"/>
      <c r="C1" s="549"/>
      <c r="D1" s="549"/>
    </row>
    <row r="2" customFormat="false" ht="13.8" hidden="false" customHeight="false" outlineLevel="0" collapsed="false">
      <c r="A2" s="550" t="s">
        <v>2702</v>
      </c>
      <c r="B2" s="551"/>
      <c r="C2" s="552"/>
      <c r="D2" s="552"/>
    </row>
    <row r="3" customFormat="false" ht="14.4" hidden="false" customHeight="false" outlineLevel="0" collapsed="false">
      <c r="A3" s="550" t="s">
        <v>2703</v>
      </c>
      <c r="B3" s="551"/>
      <c r="C3" s="552"/>
      <c r="D3" s="553" t="s">
        <v>2704</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2705</v>
      </c>
      <c r="G15" s="571"/>
      <c r="H15" s="572" t="s">
        <v>2706</v>
      </c>
      <c r="I15" s="571"/>
    </row>
    <row r="16" customFormat="false" ht="14.4" hidden="false" customHeight="false" outlineLevel="0" collapsed="false">
      <c r="A16" s="567" t="s">
        <v>1708</v>
      </c>
      <c r="B16" s="566" t="s">
        <v>1709</v>
      </c>
      <c r="C16" s="568"/>
      <c r="D16" s="569"/>
      <c r="F16" s="573" t="s">
        <v>2707</v>
      </c>
      <c r="G16" s="574"/>
      <c r="H16" s="573" t="s">
        <v>2707</v>
      </c>
      <c r="I16" s="575"/>
    </row>
    <row r="17" customFormat="false" ht="14.4" hidden="false" customHeight="false" outlineLevel="0" collapsed="false">
      <c r="A17" s="565" t="s">
        <v>2127</v>
      </c>
      <c r="B17" s="566" t="s">
        <v>2128</v>
      </c>
      <c r="C17" s="568"/>
      <c r="D17" s="569"/>
      <c r="F17" s="576" t="s">
        <v>2619</v>
      </c>
      <c r="G17" s="577"/>
      <c r="H17" s="576" t="s">
        <v>2619</v>
      </c>
      <c r="I17" s="578"/>
    </row>
    <row r="18" customFormat="false" ht="14.4" hidden="false" customHeight="false" outlineLevel="0" collapsed="false">
      <c r="A18" s="565" t="s">
        <v>1212</v>
      </c>
      <c r="B18" s="566" t="s">
        <v>1213</v>
      </c>
      <c r="C18" s="568"/>
      <c r="D18" s="569"/>
      <c r="F18" s="576" t="s">
        <v>2708</v>
      </c>
      <c r="G18" s="577"/>
      <c r="H18" s="576" t="s">
        <v>2708</v>
      </c>
      <c r="I18" s="578"/>
    </row>
    <row r="19" customFormat="false" ht="14.4" hidden="false" customHeight="false" outlineLevel="0" collapsed="false">
      <c r="A19" s="565" t="s">
        <v>1711</v>
      </c>
      <c r="B19" s="566" t="s">
        <v>1712</v>
      </c>
      <c r="C19" s="568"/>
      <c r="D19" s="569"/>
      <c r="F19" s="576" t="s">
        <v>2709</v>
      </c>
      <c r="G19" s="577"/>
      <c r="H19" s="576" t="s">
        <v>2709</v>
      </c>
      <c r="I19" s="578"/>
    </row>
    <row r="20" customFormat="false" ht="14.4" hidden="false" customHeight="false" outlineLevel="0" collapsed="false">
      <c r="A20" s="567" t="s">
        <v>1714</v>
      </c>
      <c r="B20" s="566" t="s">
        <v>1715</v>
      </c>
      <c r="C20" s="568"/>
      <c r="D20" s="569"/>
      <c r="F20" s="576" t="s">
        <v>2710</v>
      </c>
      <c r="G20" s="577"/>
      <c r="H20" s="576" t="s">
        <v>2710</v>
      </c>
      <c r="I20" s="578"/>
    </row>
    <row r="21" customFormat="false" ht="14.4" hidden="false" customHeight="false" outlineLevel="0" collapsed="false">
      <c r="A21" s="567" t="s">
        <v>1720</v>
      </c>
      <c r="B21" s="566" t="s">
        <v>1721</v>
      </c>
      <c r="C21" s="568"/>
      <c r="D21" s="569"/>
      <c r="F21" s="576" t="s">
        <v>2711</v>
      </c>
      <c r="G21" s="577"/>
      <c r="H21" s="576" t="s">
        <v>2711</v>
      </c>
      <c r="I21" s="578"/>
    </row>
    <row r="22" customFormat="false" ht="14.4" hidden="false" customHeight="false" outlineLevel="0" collapsed="false">
      <c r="A22" s="565" t="s">
        <v>1726</v>
      </c>
      <c r="B22" s="566" t="s">
        <v>1727</v>
      </c>
      <c r="C22" s="568"/>
      <c r="D22" s="569"/>
      <c r="F22" s="576" t="s">
        <v>2712</v>
      </c>
      <c r="G22" s="577"/>
      <c r="H22" s="576" t="s">
        <v>2712</v>
      </c>
      <c r="I22" s="578"/>
    </row>
    <row r="23" customFormat="false" ht="14.4" hidden="false" customHeight="false" outlineLevel="0" collapsed="false">
      <c r="A23" s="565" t="s">
        <v>2465</v>
      </c>
      <c r="B23" s="566" t="s">
        <v>2466</v>
      </c>
      <c r="C23" s="568"/>
      <c r="D23" s="569"/>
      <c r="F23" s="576" t="s">
        <v>2620</v>
      </c>
      <c r="G23" s="577"/>
      <c r="H23" s="576" t="s">
        <v>2620</v>
      </c>
      <c r="I23" s="578"/>
    </row>
    <row r="24" customFormat="false" ht="14.4" hidden="false" customHeight="false" outlineLevel="0" collapsed="false">
      <c r="A24" s="565" t="s">
        <v>2130</v>
      </c>
      <c r="B24" s="566" t="s">
        <v>2131</v>
      </c>
      <c r="C24" s="568"/>
      <c r="D24" s="569"/>
      <c r="F24" s="576" t="s">
        <v>2713</v>
      </c>
      <c r="G24" s="577"/>
      <c r="H24" s="576" t="s">
        <v>2713</v>
      </c>
      <c r="I24" s="578"/>
    </row>
    <row r="25" customFormat="false" ht="14.4" hidden="false" customHeight="false" outlineLevel="0" collapsed="false">
      <c r="A25" s="565" t="s">
        <v>2133</v>
      </c>
      <c r="B25" s="566" t="s">
        <v>2134</v>
      </c>
      <c r="C25" s="568"/>
      <c r="D25" s="569"/>
      <c r="F25" s="579" t="s">
        <v>2714</v>
      </c>
      <c r="G25" s="580"/>
      <c r="H25" s="579" t="s">
        <v>2714</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2676</v>
      </c>
    </row>
    <row r="29" customFormat="false" ht="14.4" hidden="false" customHeight="false" outlineLevel="0" collapsed="false">
      <c r="A29" s="565" t="s">
        <v>1219</v>
      </c>
      <c r="B29" s="566" t="s">
        <v>1220</v>
      </c>
      <c r="C29" s="568"/>
      <c r="D29" s="569"/>
      <c r="F29" s="583" t="s">
        <v>2679</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2715</v>
      </c>
    </row>
    <row r="35" customFormat="false" ht="14.4" hidden="false" customHeight="false" outlineLevel="0" collapsed="false">
      <c r="A35" s="565" t="s">
        <v>52</v>
      </c>
      <c r="B35" s="566" t="s">
        <v>53</v>
      </c>
      <c r="C35" s="568"/>
      <c r="D35" s="569"/>
      <c r="F35" s="583" t="s">
        <v>2716</v>
      </c>
    </row>
    <row r="36" customFormat="false" ht="14.4" hidden="false" customHeight="false" outlineLevel="0" collapsed="false">
      <c r="A36" s="567" t="s">
        <v>320</v>
      </c>
      <c r="B36" s="566" t="s">
        <v>321</v>
      </c>
      <c r="C36" s="568"/>
      <c r="D36" s="569"/>
      <c r="F36" s="585" t="s">
        <v>2717</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2015-03-17T12:37:19Z</cp:lastPrinted>
  <dcterms:modified xsi:type="dcterms:W3CDTF">2015-04-13T17:36:04Z</dcterms:modified>
  <cp:revision>0</cp:revision>
  <dc:subject/>
  <dc:title>Feuille d'aide au calcul de l'IBMR</dc:title>
</cp:coreProperties>
</file>