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ez à Lattes" sheetId="6" state="visible" r:id="rId8"/>
    <sheet name="modele" sheetId="7" state="hidden" r:id="rId9"/>
    <sheet name="liste codes réf" sheetId="8" state="hidden" r:id="rId10"/>
  </sheets>
  <definedNames>
    <definedName function="false" hidden="false" localSheetId="5" name="_xlnm.Print_Area" vbProcedure="false">'Lez à Lattes'!$A$1:$O$82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'Lez à Lattes'!$A$23:$J$84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<sst xmlns="http://schemas.openxmlformats.org/spreadsheetml/2006/main" count="7369" uniqueCount="2735">
  <si>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</si>
  <si>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</si>
  <si>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</si>
  <si>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</si>
  <si>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</si>
  <si>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</si>
  <si>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</si>
  <si>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</si>
  <si>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</si>
  <si>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</si>
  <si>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</si>
  <si>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</si>
  <si>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</si>
  <si>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</si>
  <si>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</si>
  <si>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</si>
  <si>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</si>
  <si>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</si>
  <si>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</si>
  <si>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</si>
  <si>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</si>
  <si>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</si>
  <si>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</si>
  <si>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</si>
  <si>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</si>
  <si>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</si>
  <si>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</si>
  <si>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</si>
  <si>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</si>
  <si>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</si>
  <si>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</si>
  <si>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</si>
  <si>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</si>
  <si>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</si>
  <si>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</si>
  <si>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</si>
  <si>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</si>
  <si>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</si>
  <si>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</si>
  <si>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</si>
  <si>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</si>
  <si>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</si>
  <si>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</si>
  <si>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</si>
  <si>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</si>
  <si>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</si>
  <si>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</si>
  <si>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</si>
  <si>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</si>
  <si>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</si>
  <si>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</si>
  <si>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</si>
  <si>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</si>
  <si>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</si>
  <si>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</si>
  <si>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</si>
  <si>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</si>
  <si>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</si>
  <si>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</si>
  <si>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</si>
  <si>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</si>
  <si>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</si>
  <si>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</si>
  <si>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</si>
  <si>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</si>
  <si>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</si>
  <si>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</si>
  <si>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</si>
  <si>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</si>
  <si>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</si>
  <si>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</si>
  <si>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</si>
  <si>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</si>
  <si>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</si>
  <si>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</si>
  <si>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</si>
  <si>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</si>
  <si>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</si>
  <si>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</si>
  <si>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</si>
  <si>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</si>
  <si>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</si>
  <si>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</si>
  <si>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</si>
  <si>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</si>
  <si>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</si>
  <si>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</si>
  <si>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</si>
  <si>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</si>
  <si>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</si>
  <si>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</si>
  <si>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</si>
  <si>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</si>
  <si>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</si>
  <si>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</si>
  <si>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</si>
  <si>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</si>
  <si>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</si>
  <si>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</si>
  <si>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</si>
  <si>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</si>
  <si>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</si>
  <si>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</si>
  <si>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</si>
  <si>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</si>
  <si>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</si>
  <si>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</si>
  <si>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</si>
  <si>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</si>
  <si>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</si>
  <si>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</si>
  <si>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</si>
  <si>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</si>
  <si>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</si>
  <si>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</si>
  <si>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</si>
  <si>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</si>
  <si>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</si>
  <si>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</si>
  <si>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</si>
  <si>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</si>
  <si>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</si>
  <si>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</si>
  <si>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</si>
  <si>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</si>
  <si>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</si>
  <si>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</si>
  <si>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</si>
  <si>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</si>
  <si>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</si>
  <si>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</si>
  <si>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</si>
  <si>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</si>
  <si>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</si>
  <si>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</si>
  <si>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</si>
  <si>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</si>
  <si>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</si>
  <si>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</si>
  <si>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</si>
  <si>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</si>
  <si>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</si>
  <si>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</si>
  <si>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</si>
  <si>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</si>
  <si>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</si>
  <si>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</si>
  <si>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</si>
  <si>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</si>
  <si>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</si>
  <si>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</si>
  <si>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</si>
  <si>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</si>
  <si>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</si>
  <si>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</si>
  <si>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</si>
  <si>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</si>
  <si>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</si>
  <si>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</si>
  <si>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</si>
  <si>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</si>
  <si>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</si>
  <si>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</si>
  <si>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</si>
  <si>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</si>
  <si>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</si>
  <si>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</si>
  <si>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</si>
  <si>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</si>
  <si>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</si>
  <si>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</si>
  <si>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</si>
  <si>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</si>
  <si>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</si>
  <si>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</si>
  <si>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</si>
  <si>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</si>
  <si>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</si>
  <si>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</si>
  <si>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</si>
  <si>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</si>
  <si>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</si>
  <si>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</si>
  <si>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</si>
  <si>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</si>
  <si>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</si>
  <si>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</si>
  <si>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</si>
  <si>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</si>
  <si>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</si>
  <si>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</si>
  <si>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</si>
  <si>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</si>
  <si>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</si>
  <si>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</si>
  <si>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</si>
  <si>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</si>
  <si>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</si>
  <si>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</si>
  <si>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</si>
  <si>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</si>
  <si>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</si>
  <si>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</si>
  <si>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</si>
  <si>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</si>
  <si>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</si>
  <si>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</si>
  <si>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</si>
  <si>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</si>
  <si>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</si>
  <si>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</si>
  <si>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</si>
  <si>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</si>
  <si>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</si>
  <si>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</si>
  <si>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</si>
  <si>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</si>
  <si>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</si>
  <si>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</si>
  <si>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</si>
  <si>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</si>
  <si>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</si>
  <si>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</si>
  <si>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</si>
  <si>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</si>
  <si>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</si>
  <si>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</si>
  <si>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</si>
  <si>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</si>
  <si>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</si>
  <si>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</si>
  <si>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</si>
  <si>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</si>
  <si>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</si>
  <si>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</si>
  <si>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</si>
  <si>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</si>
  <si>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</si>
  <si>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</si>
  <si>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</si>
  <si>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</si>
  <si>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</si>
  <si>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</si>
  <si>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</si>
  <si>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</si>
  <si>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</si>
  <si>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</si>
  <si>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</si>
  <si>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</si>
  <si>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</si>
  <si>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</si>
  <si>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</si>
  <si>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</si>
  <si>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</si>
  <si>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</si>
  <si>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</si>
  <si>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</si>
  <si>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</si>
  <si>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</si>
  <si>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</si>
  <si>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</si>
  <si>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</si>
  <si>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</si>
  <si>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</si>
  <si>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</si>
  <si>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</si>
  <si>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</si>
  <si>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</si>
  <si>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</si>
  <si>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</si>
  <si>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</si>
  <si>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</si>
  <si>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</si>
  <si>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</si>
  <si>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</si>
  <si>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</si>
  <si>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</si>
  <si>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</si>
  <si>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</si>
  <si>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</si>
  <si>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</si>
  <si>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</si>
  <si>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</si>
  <si>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</si>
  <si>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</si>
  <si>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</si>
  <si>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</si>
  <si>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</si>
  <si>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</si>
  <si>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</si>
  <si>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</si>
  <si>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</si>
  <si>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</si>
  <si>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</si>
  <si>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</si>
  <si>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</si>
  <si>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</si>
  <si>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</si>
  <si>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</si>
  <si>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</si>
  <si>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</si>
  <si>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</si>
  <si>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</si>
  <si>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</si>
  <si>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</si>
  <si>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</si>
  <si>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</si>
  <si>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</si>
  <si>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</si>
  <si>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</si>
  <si>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</si>
  <si>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</si>
  <si>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</si>
  <si>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</si>
  <si>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</si>
  <si>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</si>
  <si>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</si>
  <si>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</si>
  <si>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</si>
  <si>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</si>
  <si>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</si>
  <si>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</si>
  <si>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</si>
  <si>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</si>
  <si>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</si>
  <si>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</si>
  <si>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</si>
  <si>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</si>
  <si>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</si>
  <si>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</si>
  <si>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</si>
  <si>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</si>
  <si>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</si>
  <si>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</si>
  <si>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</si>
  <si>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</si>
  <si>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</si>
  <si>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</si>
  <si>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</si>
  <si>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</si>
  <si>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</si>
  <si>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</si>
  <si>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</si>
  <si>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</si>
  <si>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</si>
  <si>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</si>
  <si>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</si>
  <si>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</si>
  <si>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</si>
  <si>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</si>
  <si>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</si>
  <si>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</si>
  <si>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</si>
  <si>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</si>
  <si>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</si>
  <si>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</si>
  <si>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</si>
  <si>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</si>
  <si>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</si>
  <si>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</si>
  <si>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</si>
  <si>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</si>
  <si>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</si>
  <si>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</si>
  <si>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</si>
  <si>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</si>
  <si>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</si>
  <si>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</si>
  <si>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</si>
  <si>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</si>
  <si>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</si>
  <si>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</si>
  <si>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</si>
  <si>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</si>
  <si>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</si>
  <si>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</si>
  <si>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</si>
  <si>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</si>
  <si>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</si>
  <si>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</si>
  <si>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</si>
  <si>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</si>
  <si>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</si>
  <si>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</si>
  <si>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</si>
  <si>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</si>
  <si>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</si>
  <si>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</si>
  <si>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</si>
  <si>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</si>
  <si>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</si>
  <si>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</si>
  <si>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</si>
  <si>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</si>
  <si>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</si>
  <si>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</si>
  <si>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</si>
  <si>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</si>
  <si>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</si>
  <si>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</si>
  <si>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</si>
  <si>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</si>
  <si>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</si>
  <si>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</si>
  <si>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</si>
  <si>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</si>
  <si>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</si>
  <si>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</si>
  <si>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</si>
  <si>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</si>
  <si>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</si>
  <si>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</si>
  <si>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</si>
  <si>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</si>
  <si>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</si>
  <si>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</si>
  <si>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</si>
  <si>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</si>
  <si>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</si>
  <si>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</si>
  <si>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</si>
  <si>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</si>
  <si>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</si>
  <si>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</si>
  <si>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</si>
  <si>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</si>
  <si>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</si>
  <si>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</si>
  <si>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</si>
  <si>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</si>
  <si>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</si>
  <si>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</si>
  <si>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</si>
  <si>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</si>
  <si>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</si>
  <si>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</si>
  <si>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</si>
  <si>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</si>
  <si>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</si>
  <si>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</si>
  <si>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</si>
  <si>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</si>
  <si>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</si>
  <si>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</si>
  <si>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</si>
  <si>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</si>
  <si>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</si>
  <si>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</si>
  <si>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</si>
  <si>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</si>
  <si>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</si>
  <si>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</si>
  <si>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</si>
  <si>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</si>
  <si>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</si>
  <si>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</si>
  <si>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</si>
  <si>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</si>
  <si>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</si>
  <si>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</si>
  <si>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</si>
  <si>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</si>
  <si>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</si>
  <si>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</si>
  <si>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</si>
  <si>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</si>
  <si>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</si>
  <si>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</si>
  <si>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</si>
  <si>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</si>
  <si>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</si>
  <si>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</si>
  <si>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</si>
  <si>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</si>
  <si>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</si>
  <si>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</si>
  <si>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</si>
  <si>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</si>
  <si>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</si>
  <si>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</si>
  <si>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</si>
  <si>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</si>
  <si>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</si>
  <si>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</si>
  <si>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</si>
  <si>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</si>
  <si>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</si>
  <si>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</si>
  <si>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</si>
  <si>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</si>
  <si>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</si>
  <si>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</si>
  <si>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</si>
  <si>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</si>
  <si>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</si>
  <si>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</si>
  <si>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</si>
  <si>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</si>
  <si>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</si>
  <si>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</si>
  <si>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</si>
  <si>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</si>
  <si>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</si>
  <si>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</si>
  <si>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</si>
  <si>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</si>
  <si>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</si>
  <si>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</si>
  <si>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</si>
  <si>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</si>
  <si>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</si>
  <si>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</si>
  <si>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</si>
  <si>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</si>
  <si>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</si>
  <si>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</si>
  <si>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</si>
  <si>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</si>
  <si>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</si>
  <si>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</si>
  <si>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</si>
  <si>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</si>
  <si>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</si>
  <si>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</si>
  <si>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</si>
  <si>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</si>
  <si>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</si>
  <si>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</si>
  <si>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</si>
  <si>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</si>
  <si>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</si>
  <si>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</si>
  <si>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</si>
  <si>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</si>
  <si>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</si>
  <si>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</si>
  <si>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</si>
  <si>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</si>
  <si>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</si>
  <si>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</si>
  <si>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</si>
  <si>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</si>
  <si>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</si>
  <si>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</si>
  <si>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</si>
  <si>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</si>
  <si>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</si>
  <si>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</si>
  <si>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</si>
  <si>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</si>
  <si>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</si>
  <si>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</si>
  <si>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</si>
  <si>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</si>
  <si>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</si>
  <si>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</si>
  <si>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</si>
  <si>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</si>
  <si>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</si>
  <si>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</si>
  <si>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</si>
  <si>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</si>
  <si>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</si>
  <si>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</si>
  <si>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</si>
  <si>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</si>
  <si>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</si>
  <si>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</si>
  <si>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</si>
  <si>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</si>
  <si>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</si>
  <si>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</si>
  <si>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</si>
  <si>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</si>
  <si>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</si>
  <si>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</si>
  <si>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</si>
  <si>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</si>
  <si>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</si>
  <si>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</si>
  <si>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</si>
  <si>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</si>
  <si>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</si>
  <si>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</si>
  <si>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</si>
  <si>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</si>
  <si>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</si>
  <si>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</si>
  <si>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</si>
  <si>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</si>
  <si>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</si>
  <si>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</si>
  <si>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</si>
  <si>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</si>
  <si>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</si>
  <si>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</si>
  <si>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</si>
  <si>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</si>
  <si>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</si>
  <si>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</si>
  <si>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</si>
  <si>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</si>
  <si>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</si>
  <si>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</si>
  <si>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</si>
  <si>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</si>
  <si>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</si>
  <si>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</si>
  <si>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</si>
  <si>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</si>
  <si>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</si>
  <si>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</si>
  <si>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</si>
  <si>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</si>
  <si>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</si>
  <si>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</si>
  <si>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</si>
  <si>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</si>
  <si>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</si>
  <si>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</si>
  <si>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</si>
  <si>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</si>
  <si>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</si>
  <si>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</si>
  <si>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</si>
  <si>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</si>
  <si>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</si>
  <si>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</si>
  <si>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</si>
  <si>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</si>
  <si>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</si>
  <si>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</si>
  <si>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</si>
  <si>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</si>
  <si>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</si>
  <si>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</si>
  <si>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</si>
  <si>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</si>
  <si>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</si>
  <si>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</si>
  <si>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</si>
  <si>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</si>
  <si>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</si>
  <si>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</si>
  <si>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</si>
  <si>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</si>
  <si>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</si>
  <si>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</si>
  <si>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</si>
  <si>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</si>
  <si>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</si>
  <si>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</si>
  <si>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</si>
  <si>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</si>
  <si>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</si>
  <si>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</si>
  <si>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</si>
  <si>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</si>
  <si>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</si>
  <si>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</si>
  <si>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</si>
  <si>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</si>
  <si>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</si>
  <si>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</si>
  <si>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</si>
  <si>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</si>
  <si>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</si>
  <si>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</si>
  <si>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</si>
  <si>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</si>
  <si>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</si>
  <si>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</si>
  <si>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</si>
  <si>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</si>
  <si>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</si>
  <si>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</si>
  <si>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</si>
  <si>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</si>
  <si>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</si>
  <si>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</si>
  <si>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</si>
  <si>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</si>
  <si>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</si>
  <si>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</si>
  <si>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</si>
  <si>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</si>
  <si>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</si>
  <si>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</si>
  <si>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</si>
  <si>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</si>
  <si>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</si>
  <si>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</si>
  <si>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</si>
  <si>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</si>
  <si>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</si>
  <si>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</si>
  <si>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</si>
  <si>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</si>
  <si>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</si>
  <si>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</si>
  <si>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</si>
  <si>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</si>
  <si>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</si>
  <si>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</si>
  <si>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</si>
  <si>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</si>
  <si>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</si>
  <si>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</si>
  <si>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</si>
  <si>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</si>
  <si>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</si>
  <si>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</si>
  <si>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</si>
  <si>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</si>
  <si>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</si>
  <si>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</si>
  <si>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</si>
  <si>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</si>
  <si>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</si>
  <si>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</si>
  <si>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</si>
  <si>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</si>
  <si>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</si>
  <si>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</si>
  <si>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</si>
  <si>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</si>
  <si>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</si>
  <si>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</si>
  <si>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</si>
  <si>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</si>
  <si>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</si>
  <si>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</si>
  <si>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</si>
  <si>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</si>
  <si>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</si>
  <si>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</si>
  <si>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</si>
  <si>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</si>
  <si>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</si>
  <si>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</si>
  <si>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</si>
  <si>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</si>
  <si>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</si>
  <si>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</si>
  <si>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</si>
  <si>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</si>
  <si>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</si>
  <si>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</si>
  <si>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</si>
  <si>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</si>
  <si>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</si>
  <si>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</si>
  <si>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</si>
  <si>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</si>
  <si>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</si>
  <si>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</si>
  <si>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</si>
  <si>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</si>
  <si>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</si>
  <si>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</si>
  <si>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</si>
  <si>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</si>
  <si>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</si>
  <si>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</si>
  <si>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</si>
  <si>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</si>
  <si>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</si>
  <si>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</si>
  <si>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</si>
  <si>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</si>
  <si>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</si>
  <si>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</si>
  <si>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</si>
  <si>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</si>
  <si>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</si>
  <si>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</si>
  <si>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</si>
  <si>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</si>
  <si>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</si>
  <si>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</si>
  <si>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</si>
  <si>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</si>
  <si>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</si>
  <si>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</si>
  <si>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</si>
  <si>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</si>
  <si>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</si>
  <si>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</si>
  <si>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</si>
  <si>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</si>
  <si>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</si>
  <si>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</si>
  <si>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</si>
  <si>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</si>
  <si>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</si>
  <si>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</si>
  <si>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</si>
  <si>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</si>
  <si>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</si>
  <si>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</si>
  <si>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</si>
  <si>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</si>
  <si>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</si>
  <si>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</si>
  <si>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</si>
  <si>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</si>
  <si>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</si>
  <si>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</si>
  <si>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</si>
  <si>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</si>
  <si>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</si>
  <si>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</si>
  <si>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</si>
  <si>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</si>
  <si>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</si>
  <si>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</si>
  <si>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</si>
  <si>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</si>
  <si>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</si>
  <si>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</si>
  <si>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</si>
  <si>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</si>
  <si>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</si>
  <si>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</si>
  <si>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</si>
  <si>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</si>
  <si>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</si>
  <si>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</si>
  <si>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</si>
  <si>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</si>
  <si>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</si>
  <si>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</si>
  <si>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</si>
  <si>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</si>
  <si>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</si>
  <si>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</si>
  <si>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</si>
  <si>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</si>
  <si>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</si>
  <si>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</si>
  <si>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</si>
  <si>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</si>
  <si>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</si>
  <si>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</si>
  <si>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</si>
  <si>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</si>
  <si>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</si>
  <si>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</si>
  <si>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</si>
  <si>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</si>
  <si>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</si>
  <si>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</si>
  <si>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</si>
  <si>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</si>
  <si>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</si>
  <si>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</si>
  <si>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</si>
  <si>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</si>
  <si>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</si>
  <si>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</si>
  <si>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</si>
  <si>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</si>
  <si>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</si>
  <si>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</si>
  <si>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</si>
  <si>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</si>
  <si>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</si>
  <si>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</si>
  <si>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</si>
  <si>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</si>
  <si>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</si>
  <si>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</si>
  <si>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</si>
  <si>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</si>
  <si>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</si>
  <si>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</si>
  <si>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</si>
  <si>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</si>
  <si>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</si>
  <si>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</si>
  <si>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</si>
  <si>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</si>
  <si>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</si>
  <si>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</si>
  <si>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</si>
  <si>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</si>
  <si>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</si>
  <si>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</si>
  <si>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</si>
  <si>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</si>
  <si>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</si>
  <si>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</si>
  <si>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</si>
  <si>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</si>
  <si>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</si>
  <si>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</si>
  <si>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</si>
  <si>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</si>
  <si>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</si>
  <si>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</si>
  <si>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</si>
  <si>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</si>
  <si>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</si>
  <si>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</si>
  <si>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</si>
  <si>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</si>
  <si>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</si>
  <si>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</si>
  <si>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</si>
  <si>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</si>
  <si>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</si>
  <si>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</si>
  <si>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</si>
  <si>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</si>
  <si>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</si>
  <si>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</si>
  <si>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</si>
  <si>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</si>
  <si>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</si>
  <si>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</si>
  <si>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</si>
  <si>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</si>
  <si>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</si>
  <si>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</si>
  <si>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</si>
  <si>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</si>
  <si>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</si>
  <si>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</si>
  <si>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</si>
  <si>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</si>
  <si>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</si>
  <si>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</si>
  <si>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</si>
  <si>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</si>
  <si>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</si>
  <si>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</si>
  <si>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</si>
  <si>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</si>
  <si>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</si>
  <si>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</si>
  <si>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</si>
  <si>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</si>
  <si>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</si>
  <si>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</si>
  <si>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</si>
  <si>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</si>
  <si>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</si>
  <si>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</si>
  <si>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</si>
  <si>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</si>
  <si>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</si>
  <si>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</si>
  <si>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</si>
  <si>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</si>
  <si>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</si>
  <si>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</si>
  <si>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</si>
  <si>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</si>
  <si>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</si>
  <si>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</si>
  <si>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</si>
  <si>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</si>
  <si>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</si>
  <si>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</si>
  <si>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</si>
  <si>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</si>
  <si>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</si>
  <si>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</si>
  <si>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</si>
  <si>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</si>
  <si>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</si>
  <si>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</si>
  <si>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</si>
  <si>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</si>
  <si>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</si>
  <si>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</si>
  <si>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</si>
  <si>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</si>
  <si>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</si>
  <si>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</si>
  <si>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</si>
  <si>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</si>
  <si>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</si>
  <si>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</si>
  <si>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</si>
  <si>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</si>
  <si>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</si>
  <si>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</si>
  <si>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</si>
  <si>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</si>
  <si>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</si>
  <si>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</si>
  <si>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</si>
  <si>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</si>
  <si>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</si>
  <si>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</si>
  <si>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</si>
  <si>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</si>
  <si>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</si>
  <si>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</si>
  <si>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</si>
  <si>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</si>
  <si>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</si>
  <si>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</si>
  <si>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</si>
  <si>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</si>
  <si>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</si>
  <si>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</si>
  <si>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</si>
  <si>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</si>
  <si>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</si>
  <si>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</si>
  <si>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</si>
  <si>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</si>
  <si>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</si>
  <si>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</si>
  <si>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</si>
  <si>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</si>
  <si>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</si>
  <si>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</si>
  <si>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</si>
  <si>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</si>
  <si>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</si>
  <si>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</si>
  <si>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</si>
  <si>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</si>
  <si>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</si>
  <si>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</si>
  <si>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</si>
  <si>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</si>
  <si>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</si>
  <si>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</si>
  <si>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</si>
  <si>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</si>
  <si>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</si>
  <si>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</si>
  <si>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</si>
  <si>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</si>
  <si>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</si>
  <si>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</si>
  <si>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</si>
  <si>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</si>
  <si>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</si>
  <si>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</si>
  <si>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</si>
  <si>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</si>
  <si>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</si>
  <si>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</si>
  <si>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</si>
  <si>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</si>
  <si>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</si>
  <si>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</si>
  <si>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</si>
  <si>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</si>
  <si>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</si>
  <si>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</si>
  <si>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</si>
  <si>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</si>
  <si>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</si>
  <si>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</si>
  <si>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</si>
  <si>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</si>
  <si>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</si>
  <si>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</si>
  <si>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</si>
  <si>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</si>
  <si>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</si>
  <si>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</si>
  <si>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</si>
  <si>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</si>
  <si>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</si>
  <si>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</si>
  <si>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</si>
  <si>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</si>
  <si>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</si>
  <si>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</si>
  <si>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</si>
  <si>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</si>
  <si>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</si>
  <si>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</si>
  <si>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</si>
  <si>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</si>
  <si>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</si>
  <si>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</si>
  <si>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</si>
  <si>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</si>
  <si>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</si>
  <si>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</si>
  <si>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</si>
  <si>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</si>
  <si>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</si>
  <si>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</si>
  <si>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</si>
  <si>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</si>
  <si>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</si>
  <si>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</si>
  <si>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</si>
  <si>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</si>
  <si>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</si>
  <si>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</si>
  <si>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</si>
  <si>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</si>
  <si>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</si>
  <si>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</si>
  <si>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</si>
  <si>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</si>
  <si>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</si>
  <si>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</si>
  <si>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</si>
  <si>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</si>
  <si>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</si>
  <si>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</si>
  <si>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</si>
  <si>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</si>
  <si>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</si>
  <si>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</si>
  <si>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</si>
  <si>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</si>
  <si>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</si>
  <si>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</si>
  <si>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</si>
  <si>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</si>
  <si>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</si>
  <si>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</si>
  <si>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</si>
  <si>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</si>
  <si>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</si>
  <si>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</si>
  <si>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</si>
  <si>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</si>
  <si>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</si>
  <si>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</si>
  <si>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</si>
  <si>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</si>
  <si>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</si>
  <si>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</si>
  <si>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</si>
  <si>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</si>
  <si>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</si>
  <si>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</si>
  <si>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</si>
  <si>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</si>
  <si>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</si>
  <si>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</si>
  <si>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</si>
  <si>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</si>
  <si>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</si>
  <si>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</si>
  <si>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</si>
  <si>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</si>
  <si>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</si>
  <si>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</si>
  <si>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</si>
  <si>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</si>
  <si>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</si>
  <si>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</si>
  <si>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</si>
  <si>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</si>
  <si>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</si>
  <si>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</si>
  <si>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</si>
  <si>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</si>
  <si>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</si>
  <si>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</si>
  <si>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</si>
  <si>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</si>
  <si>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</si>
  <si>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</si>
  <si>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</si>
  <si>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</si>
  <si>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</si>
  <si>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</si>
  <si>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</si>
  <si>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</si>
  <si>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</si>
  <si>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</si>
  <si>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</si>
  <si>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</si>
  <si>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</si>
  <si>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</si>
  <si>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</si>
  <si>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</si>
  <si>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</si>
  <si>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</si>
  <si>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</si>
  <si>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</si>
  <si>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</si>
  <si>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</si>
  <si>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</si>
  <si>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</si>
  <si>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</si>
  <si>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</si>
  <si>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</si>
  <si>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</si>
  <si>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</si>
  <si>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</si>
  <si>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</si>
  <si>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</si>
  <si>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</si>
  <si>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</si>
  <si>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</si>
  <si>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</si>
  <si>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</si>
  <si>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</si>
  <si>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</si>
  <si>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</si>
  <si>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</si>
  <si>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</si>
  <si>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</si>
  <si>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</si>
  <si>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</si>
  <si>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</si>
  <si>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</si>
  <si>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</si>
  <si>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</si>
  <si>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</si>
  <si>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</si>
  <si>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</si>
  <si>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</si>
  <si>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</si>
  <si>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</si>
  <si>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</si>
  <si>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</si>
  <si>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</si>
  <si>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</si>
  <si>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</si>
  <si>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</si>
  <si>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</si>
  <si>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</si>
  <si>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</si>
  <si>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</si>
  <si>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</si>
  <si>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</si>
  <si>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</si>
  <si>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</si>
  <si>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</si>
  <si>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</si>
  <si>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</si>
  <si>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</si>
  <si>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</si>
  <si>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</si>
  <si>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</si>
  <si>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</si>
  <si>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</si>
  <si>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</si>
  <si>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</si>
  <si>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</si>
  <si>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</si>
  <si>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</si>
  <si>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</si>
  <si>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</si>
  <si>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</si>
  <si>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</si>
  <si>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</si>
  <si>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</si>
  <si>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</si>
  <si>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</si>
  <si>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</si>
  <si>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</si>
  <si>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</si>
  <si>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</si>
  <si>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</si>
  <si>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</si>
  <si>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</si>
  <si>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</si>
  <si>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</si>
  <si>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</si>
  <si>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</si>
  <si>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</si>
  <si>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</si>
  <si>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</si>
  <si>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</si>
  <si>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</si>
  <si>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</si>
  <si>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</si>
  <si>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</si>
  <si>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</si>
  <si>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</si>
  <si>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</si>
  <si>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</si>
  <si>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</si>
  <si>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</si>
  <si>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</si>
  <si>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</si>
  <si>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</si>
  <si>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</si>
  <si>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</si>
  <si>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</si>
  <si>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</si>
  <si>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</si>
  <si>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</si>
  <si>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</si>
  <si>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</si>
  <si>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</si>
  <si>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</si>
  <si>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</si>
  <si>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</si>
  <si>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</si>
  <si>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</si>
  <si>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</si>
  <si>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</si>
  <si>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</si>
  <si>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</si>
  <si>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</si>
  <si>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</si>
  <si>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</si>
  <si>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</si>
  <si>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</si>
  <si>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</si>
  <si>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</si>
  <si>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</si>
  <si>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</si>
  <si>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</si>
  <si>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</si>
  <si>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</si>
  <si>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</si>
  <si>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</si>
  <si>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</si>
  <si>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</si>
  <si>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</si>
  <si>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</si>
  <si>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</si>
  <si>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</si>
  <si>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</si>
  <si>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</si>
  <si>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</si>
  <si>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</si>
  <si>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</si>
  <si>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</si>
  <si>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</si>
  <si>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</si>
  <si>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</si>
  <si>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</si>
  <si>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</si>
  <si>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</si>
  <si>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</si>
  <si>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</si>
  <si>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</si>
  <si>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</si>
  <si>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</si>
  <si>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</si>
  <si>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</si>
  <si>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</si>
  <si>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</si>
  <si>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</si>
  <si>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</si>
  <si>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</si>
  <si>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</si>
  <si>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</si>
  <si>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</si>
  <si>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</si>
  <si>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</si>
  <si>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</si>
  <si>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</si>
  <si>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</si>
  <si>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</si>
  <si>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</si>
  <si>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</si>
  <si>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</si>
  <si>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</si>
  <si>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</si>
  <si>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</si>
  <si>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</si>
  <si>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</si>
  <si>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</si>
  <si>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</si>
  <si>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</si>
  <si>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</si>
  <si>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</si>
  <si>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</si>
  <si>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</si>
  <si>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</si>
  <si>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</si>
  <si>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</si>
  <si>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</si>
  <si>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</si>
  <si>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</si>
  <si>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</si>
  <si>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</si>
  <si>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</si>
  <si>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</si>
  <si>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</si>
  <si>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</si>
  <si>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</si>
  <si>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</si>
  <si>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</si>
  <si>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</si>
  <si>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</si>
  <si>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</si>
  <si>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</si>
  <si>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</si>
  <si>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</si>
  <si>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</si>
  <si>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</si>
  <si>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</si>
  <si>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</si>
  <si>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</si>
  <si>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</si>
  <si>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</si>
  <si>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</si>
  <si>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</si>
  <si>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</si>
  <si>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</si>
  <si>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</si>
  <si>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</si>
  <si>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</si>
  <si>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</si>
  <si>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</si>
  <si>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</si>
  <si>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</si>
  <si>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</si>
  <si>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</si>
  <si>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</si>
  <si>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</si>
  <si>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</si>
  <si>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</si>
  <si>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</si>
  <si>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</si>
  <si>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</si>
  <si>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</si>
  <si>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</si>
  <si>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</si>
  <si>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</si>
  <si>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</si>
  <si>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</si>
  <si>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</si>
  <si>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</si>
  <si>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</si>
  <si>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</si>
  <si>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</si>
  <si>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</si>
  <si>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</si>
  <si>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</si>
  <si>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</si>
  <si>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</si>
  <si>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</si>
  <si>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</si>
  <si>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</si>
  <si>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</si>
  <si>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</si>
  <si>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</si>
  <si>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</si>
  <si>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</si>
  <si>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</si>
  <si>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</si>
  <si>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</si>
  <si>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</si>
  <si>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</si>
  <si>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</si>
  <si>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</si>
  <si>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</si>
  <si>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</si>
  <si>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</si>
  <si>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</si>
  <si>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</si>
  <si>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</si>
  <si>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</si>
  <si>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</si>
  <si>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</si>
  <si>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</si>
  <si>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</si>
  <si>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</si>
  <si>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</si>
  <si>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</si>
  <si>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</si>
  <si>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</si>
  <si>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</si>
  <si>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</si>
  <si>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</si>
  <si>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</si>
  <si>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</si>
  <si>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</si>
  <si>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</si>
  <si>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</si>
  <si>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</si>
  <si>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</si>
  <si>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</si>
  <si>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</si>
  <si>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</si>
  <si>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</si>
  <si>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</si>
  <si>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</si>
  <si>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</si>
  <si>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</si>
  <si>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</si>
  <si>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</si>
  <si>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</si>
  <si>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</si>
  <si>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</si>
  <si>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</si>
  <si>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</si>
  <si>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</si>
  <si>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</si>
  <si>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</si>
  <si>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</si>
  <si>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</si>
  <si>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</si>
  <si>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</si>
  <si>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</si>
  <si>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</si>
  <si>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</si>
  <si>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</si>
  <si>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</si>
  <si>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</si>
  <si>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</si>
  <si>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</si>
  <si>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</si>
  <si>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</si>
  <si>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</si>
  <si>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</si>
  <si>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</si>
  <si>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</si>
  <si>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</si>
  <si>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</si>
  <si>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</si>
  <si>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</si>
  <si>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</si>
  <si>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</si>
  <si>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</si>
  <si>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</si>
  <si>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</si>
  <si>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</si>
  <si>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</si>
  <si>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</si>
  <si>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</si>
  <si>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</si>
  <si>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</si>
  <si>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</si>
  <si>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</si>
  <si>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</si>
  <si>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</si>
  <si>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</si>
  <si>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</si>
  <si>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</si>
  <si>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</si>
  <si>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</si>
  <si>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</si>
  <si>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</si>
  <si>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</si>
  <si>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</si>
  <si>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</si>
  <si>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</si>
  <si>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</si>
  <si>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</si>
  <si>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</si>
  <si>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</si>
  <si>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</si>
  <si>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</si>
  <si>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</si>
  <si>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</si>
  <si>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</si>
  <si>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</si>
  <si>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</si>
  <si>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</si>
  <si>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</si>
  <si>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</si>
  <si>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</si>
  <si>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</si>
  <si>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</si>
  <si>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</si>
  <si>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</si>
  <si>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</si>
  <si>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</si>
  <si>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</si>
  <si>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</si>
  <si>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</si>
  <si>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</si>
  <si>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</si>
  <si>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</si>
  <si>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</si>
  <si>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</si>
  <si>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</si>
  <si>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</si>
  <si>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</si>
  <si>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</si>
  <si>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</si>
  <si>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</si>
  <si>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</si>
  <si>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</si>
  <si>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</si>
  <si>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</si>
  <si>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</si>
  <si>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</si>
  <si>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</si>
  <si>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</si>
  <si>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</si>
  <si>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</si>
  <si>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</si>
  <si>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</si>
  <si>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</si>
  <si>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</si>
  <si>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</si>
  <si>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</si>
  <si>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</si>
  <si>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</si>
  <si>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</si>
  <si>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</si>
  <si>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</si>
  <si>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</si>
  <si>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</si>
  <si>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</si>
  <si>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</si>
  <si>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</si>
  <si>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</si>
  <si>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</si>
  <si>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</si>
  <si>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</si>
  <si>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</si>
  <si>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</si>
  <si>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</si>
  <si>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</si>
  <si>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</si>
  <si>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</si>
  <si>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</si>
  <si>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</si>
  <si>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</si>
  <si>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</si>
  <si>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</si>
  <si>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</si>
  <si>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</si>
  <si>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</si>
  <si>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</si>
  <si>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</si>
  <si>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</si>
  <si>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</si>
  <si>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</si>
  <si>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</si>
  <si>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</si>
  <si>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</si>
  <si>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</si>
  <si>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</si>
  <si>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</si>
  <si>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</si>
  <si>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</si>
  <si>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</si>
  <si>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</si>
  <si>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</si>
  <si>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</si>
  <si>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</si>
  <si>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</si>
  <si>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</si>
  <si>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</si>
  <si>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</si>
  <si>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</si>
  <si>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</si>
  <si>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</si>
  <si>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</si>
  <si>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</si>
  <si>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</si>
  <si>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</si>
  <si>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</si>
  <si>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</si>
  <si>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</si>
  <si>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</si>
  <si>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</si>
  <si>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</si>
  <si>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</si>
  <si>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</si>
  <si>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</si>
  <si>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</si>
  <si>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</si>
  <si>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</si>
  <si>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</si>
  <si>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</si>
  <si>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</si>
  <si>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</si>
  <si>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</si>
  <si>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</si>
  <si>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</si>
  <si>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</si>
  <si>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</si>
  <si>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</si>
  <si>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</si>
  <si>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</si>
  <si>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</si>
  <si>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</si>
  <si>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</si>
  <si>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</si>
  <si>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</si>
  <si>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</si>
  <si>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</si>
  <si>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</si>
  <si>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</si>
  <si>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</si>
  <si>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</si>
  <si>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</si>
  <si>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</si>
  <si>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</si>
  <si>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</si>
  <si>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</si>
  <si>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</si>
  <si>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</si>
  <si>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</si>
  <si>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</si>
  <si>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</si>
  <si>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</si>
  <si>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</si>
  <si>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</si>
  <si>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</si>
  <si>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</si>
  <si>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</si>
  <si>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</si>
  <si>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</si>
  <si>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</si>
  <si>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</si>
  <si>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</si>
  <si>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</si>
  <si>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</si>
  <si>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</si>
  <si>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</si>
  <si>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</si>
  <si>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</si>
  <si>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</si>
  <si>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</si>
  <si>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</si>
  <si>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</si>
  <si>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</si>
  <si>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</si>
  <si>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</si>
  <si>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</si>
  <si>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</si>
  <si>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</si>
  <si>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</si>
  <si>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</si>
  <si>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</si>
  <si>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</si>
  <si>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</si>
  <si>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</si>
  <si>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</si>
  <si>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</si>
  <si>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</si>
  <si>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</si>
  <si>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</si>
  <si>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</si>
  <si>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</si>
  <si>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</si>
  <si>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</si>
  <si>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</si>
  <si>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</si>
  <si>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</si>
  <si>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</si>
  <si>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</si>
  <si>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</si>
  <si>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</si>
  <si>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</si>
  <si>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</si>
  <si>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</si>
  <si>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</si>
  <si>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</si>
  <si>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</si>
  <si>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</si>
  <si>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</si>
  <si>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</si>
  <si>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</si>
  <si>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</si>
  <si>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</si>
  <si>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</si>
  <si>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</si>
  <si>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</si>
  <si>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</si>
  <si>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</si>
  <si>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</si>
  <si>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</si>
  <si>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</si>
  <si>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</si>
  <si>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</si>
  <si>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</si>
  <si>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</si>
  <si>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</si>
  <si>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</si>
  <si>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</si>
  <si>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</si>
  <si>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</si>
  <si>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</si>
  <si>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</si>
  <si>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</si>
  <si>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</si>
  <si>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</si>
  <si>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</si>
  <si>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</si>
  <si>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</si>
  <si>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</si>
  <si>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</si>
  <si>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</si>
  <si>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</si>
  <si>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</si>
  <si>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</si>
  <si>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</si>
  <si>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</si>
  <si>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</si>
  <si>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</si>
  <si>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</si>
  <si>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</si>
  <si>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</si>
  <si>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</si>
  <si>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</si>
  <si>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</si>
  <si>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</si>
  <si>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</si>
  <si>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</si>
  <si>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</si>
  <si>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</si>
  <si>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</si>
  <si>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</si>
  <si>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</si>
  <si>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</si>
  <si>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</si>
  <si>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</si>
  <si>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</si>
  <si>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</si>
  <si>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</si>
  <si>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</si>
  <si>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</si>
  <si>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</si>
  <si>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</si>
  <si>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</si>
  <si>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</si>
  <si>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</si>
  <si>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</si>
  <si>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</si>
  <si>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</si>
  <si>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</si>
  <si>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</si>
  <si>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</si>
  <si>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</si>
  <si>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</si>
  <si>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</si>
  <si>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</si>
  <si>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</si>
  <si>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</si>
  <si>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</si>
  <si>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</si>
  <si>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</si>
  <si>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</si>
  <si>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</si>
  <si>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</si>
  <si>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</si>
  <si>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</si>
  <si>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</si>
  <si>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</si>
  <si>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</si>
  <si>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</si>
  <si>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</si>
  <si>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</si>
  <si>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</si>
  <si>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</si>
  <si>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</si>
  <si>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</si>
  <si>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</si>
  <si>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</si>
  <si>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</si>
  <si>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</si>
  <si>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</si>
  <si>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</si>
  <si>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</si>
  <si>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</si>
  <si>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</si>
  <si>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</si>
  <si>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</si>
  <si>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</si>
  <si>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</si>
  <si>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</si>
  <si>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</si>
  <si>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</si>
  <si>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</si>
  <si>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</si>
  <si>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</si>
  <si>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</si>
  <si>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</si>
  <si>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</si>
  <si>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</si>
  <si>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</si>
  <si>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</si>
  <si>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</si>
  <si>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</si>
  <si>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</si>
  <si>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</si>
  <si>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</si>
  <si>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</si>
  <si>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</si>
  <si>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</si>
  <si>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</si>
  <si>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</si>
  <si>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</si>
  <si>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</si>
  <si>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</si>
  <si>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</si>
  <si>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</si>
  <si>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</si>
  <si>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</si>
  <si>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</si>
  <si>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</si>
  <si>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</si>
  <si>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</si>
  <si>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</si>
  <si>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</si>
  <si>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</si>
  <si>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</si>
  <si>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</si>
  <si>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</si>
  <si>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</si>
  <si>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</si>
  <si>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</si>
  <si>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</si>
  <si>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</si>
  <si>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</si>
  <si>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</si>
  <si>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</si>
  <si>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</si>
  <si>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</si>
  <si>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</si>
  <si>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</si>
  <si>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</si>
  <si>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</si>
  <si>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</si>
  <si>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</si>
  <si>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</si>
  <si>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</si>
  <si>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</si>
  <si>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</si>
  <si>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</si>
  <si>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</si>
  <si>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</si>
  <si>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</si>
  <si>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</si>
  <si>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</si>
  <si>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</si>
  <si>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</si>
  <si>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</si>
  <si>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</si>
  <si>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</si>
  <si>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</si>
  <si>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</si>
  <si>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</si>
  <si>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</si>
  <si>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</si>
  <si>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</si>
  <si>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</si>
  <si>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</si>
  <si>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</si>
  <si>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</si>
  <si>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</si>
  <si>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</si>
  <si>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</si>
  <si>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</si>
  <si>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</si>
  <si>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</si>
  <si>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</si>
  <si>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</si>
  <si>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</si>
  <si>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</si>
  <si>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</si>
  <si>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</si>
  <si>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</si>
  <si>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</si>
  <si>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</si>
  <si>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</si>
  <si>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</si>
  <si>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</si>
  <si>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</si>
  <si>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</si>
  <si>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</si>
  <si>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</si>
  <si>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</si>
  <si>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</si>
  <si>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</si>
  <si>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</si>
  <si>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</si>
  <si>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</si>
  <si>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</si>
  <si>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</si>
  <si>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</si>
  <si>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</si>
  <si>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</si>
  <si>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</si>
  <si>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</si>
  <si>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</si>
  <si>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</si>
  <si>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</si>
  <si>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</si>
  <si>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</si>
  <si>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</si>
  <si>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</si>
  <si>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</si>
  <si>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</si>
  <si>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</si>
  <si>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</si>
  <si>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</si>
  <si>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</si>
  <si>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</si>
  <si>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</si>
  <si>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</si>
  <si>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</si>
  <si>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</si>
  <si>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</si>
  <si>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</si>
  <si>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</si>
  <si>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</si>
  <si>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</si>
  <si>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</si>
  <si>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</si>
  <si>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</si>
  <si>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</si>
  <si>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</si>
  <si>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</si>
  <si>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</si>
  <si>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</si>
  <si>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</si>
  <si>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</si>
  <si>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</si>
  <si>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</si>
  <si>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</si>
  <si>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</si>
  <si>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</si>
  <si>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</si>
  <si>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</si>
  <si>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</si>
  <si>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</si>
  <si>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</si>
  <si>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</si>
  <si>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</si>
  <si>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</si>
  <si>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</si>
  <si>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</si>
  <si>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</si>
  <si>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</si>
  <si>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</si>
  <si>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</si>
  <si>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</si>
  <si>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</si>
  <si>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</si>
  <si>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</si>
  <si>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</si>
  <si>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</si>
  <si>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</si>
  <si>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</si>
  <si>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</si>
  <si>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</si>
  <si>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</si>
  <si>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</si>
  <si>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</si>
  <si>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</si>
  <si>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</si>
  <si>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</si>
  <si>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</si>
  <si>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</si>
  <si>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</si>
  <si>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</si>
  <si>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</si>
  <si>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</si>
  <si>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</si>
  <si>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</si>
  <si>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</si>
  <si>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</si>
  <si>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</si>
  <si>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</si>
  <si>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</si>
  <si>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</si>
  <si>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</si>
  <si>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</si>
  <si>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</si>
  <si>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</si>
  <si>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</si>
  <si>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</si>
  <si>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</si>
  <si>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</si>
  <si>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</si>
  <si>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</si>
  <si>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</si>
  <si>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</si>
  <si>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</si>
  <si>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</si>
  <si>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</si>
  <si>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</si>
  <si>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</si>
  <si>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</si>
  <si>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</si>
  <si>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</si>
  <si>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</si>
  <si>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</si>
  <si>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</si>
  <si>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</si>
  <si>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</si>
  <si>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</si>
  <si>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</si>
  <si>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</si>
  <si>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</si>
  <si>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</si>
  <si>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</si>
  <si>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</si>
  <si>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</si>
  <si>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</si>
  <si>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</si>
  <si>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</si>
  <si>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</si>
  <si>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</si>
  <si>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</si>
  <si>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</si>
  <si>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</si>
  <si>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</si>
  <si>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</si>
  <si>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</si>
  <si>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</si>
  <si>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</si>
  <si>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</si>
  <si>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</si>
  <si>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</si>
  <si>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</si>
  <si>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</si>
  <si>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</si>
  <si>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</si>
  <si>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</si>
  <si>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</si>
  <si>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</si>
  <si>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</si>
  <si>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</si>
  <si>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</si>
  <si>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</si>
  <si>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</si>
  <si>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</si>
  <si>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</si>
  <si>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</si>
  <si>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</si>
  <si>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</si>
  <si>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</si>
  <si>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</si>
  <si>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</si>
  <si>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</si>
  <si>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</si>
  <si>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</si>
  <si>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</si>
  <si>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</si>
  <si>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</si>
  <si>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</si>
  <si>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</si>
  <si>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</si>
  <si>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</si>
  <si>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</si>
  <si>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</si>
  <si>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</si>
  <si>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</si>
  <si>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</si>
  <si>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</si>
  <si>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</si>
  <si>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</si>
  <si>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</si>
  <si>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</si>
  <si>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</si>
  <si>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</si>
  <si>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</si>
  <si>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</si>
  <si>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</si>
  <si>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</si>
  <si>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</si>
  <si>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</si>
  <si>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</si>
  <si>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</si>
  <si>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</si>
  <si>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</si>
  <si>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</si>
  <si>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</si>
  <si>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</si>
  <si>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</si>
  <si>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</si>
  <si>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</si>
  <si>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</si>
  <si>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</si>
  <si>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</si>
  <si>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</si>
  <si>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</si>
  <si>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</si>
  <si>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</si>
  <si>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</si>
  <si>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</si>
  <si>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</si>
  <si>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</si>
  <si>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</si>
  <si>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</si>
  <si>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</si>
  <si>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</si>
  <si>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</si>
  <si>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</si>
  <si>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</si>
  <si>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</si>
  <si>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</si>
  <si>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</si>
  <si>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</si>
  <si>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</si>
  <si>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</si>
  <si>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</si>
  <si>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</si>
  <si>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</si>
  <si>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</si>
  <si>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</si>
  <si>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</si>
  <si>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</si>
  <si>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</si>
  <si>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</si>
  <si>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</si>
  <si>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</si>
  <si>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</si>
  <si>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</si>
  <si>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</si>
  <si>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</si>
  <si>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</si>
  <si>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</si>
  <si>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</si>
  <si>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</si>
  <si>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</si>
  <si>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</si>
  <si>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</si>
  <si>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</si>
  <si>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</si>
  <si>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</si>
  <si>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</si>
  <si>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</si>
  <si>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</si>
  <si>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</si>
  <si>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</si>
  <si>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</si>
  <si>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</si>
  <si>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</si>
  <si>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</si>
  <si>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</si>
  <si>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</si>
  <si>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</si>
  <si>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</si>
  <si>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</si>
  <si>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</si>
  <si>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</si>
  <si>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</si>
  <si>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</si>
  <si>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</si>
  <si>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</si>
  <si>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</si>
  <si>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</si>
  <si>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</si>
  <si>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</si>
  <si>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</si>
  <si>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</si>
  <si>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</si>
  <si>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</si>
  <si>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</si>
  <si>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</si>
  <si>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</si>
  <si>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</si>
  <si>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</si>
  <si>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</si>
  <si>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</si>
  <si>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</si>
  <si>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</si>
  <si>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</si>
  <si>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</si>
  <si>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</si>
  <si>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</si>
  <si>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</si>
  <si>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</si>
  <si>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</si>
  <si>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</si>
  <si>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</si>
  <si>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</si>
  <si>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</si>
  <si>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</si>
  <si>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</si>
  <si>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</si>
  <si>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</si>
  <si>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</si>
  <si>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</si>
  <si>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</si>
  <si>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</si>
  <si>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</si>
  <si>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</si>
  <si>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</si>
  <si>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</si>
  <si>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</si>
  <si>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</si>
  <si>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</si>
  <si>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</si>
  <si>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</si>
  <si>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</si>
  <si>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</si>
  <si>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</si>
  <si>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</si>
  <si>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</si>
  <si>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</si>
  <si>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</si>
  <si>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</si>
  <si>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</si>
  <si>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</si>
  <si>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</si>
  <si>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</si>
  <si>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</si>
  <si>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</si>
  <si>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</si>
  <si>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</si>
  <si>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</si>
  <si>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</si>
  <si>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</si>
  <si>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</si>
  <si>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</si>
  <si>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</si>
  <si>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</si>
  <si>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</si>
  <si>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</si>
  <si>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</si>
  <si>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</si>
  <si>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</si>
  <si>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</si>
  <si>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</si>
  <si>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</si>
  <si>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</si>
  <si>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</si>
  <si>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</si>
  <si>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</si>
  <si>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</si>
  <si>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</si>
  <si>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</si>
  <si>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</si>
  <si>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</si>
  <si>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</si>
  <si>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</si>
  <si>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</si>
  <si>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</si>
  <si>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</si>
  <si>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</si>
  <si>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</si>
  <si>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</si>
  <si>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</si>
  <si>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</si>
  <si>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</si>
  <si>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</si>
  <si>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</si>
  <si>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</si>
  <si>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</si>
  <si>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</si>
  <si>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</si>
  <si>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</si>
  <si>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</si>
  <si>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</si>
  <si>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</si>
  <si>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</si>
  <si>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</si>
  <si>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</si>
  <si>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</si>
  <si>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</si>
  <si>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</si>
  <si>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</si>
  <si>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</si>
  <si>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</si>
  <si>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</si>
  <si>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</si>
  <si>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</si>
  <si>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</si>
  <si>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</si>
  <si>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</si>
  <si>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</si>
  <si>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</si>
  <si>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</si>
  <si>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</si>
  <si>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</si>
  <si>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</si>
  <si>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</si>
  <si>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</si>
  <si>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</si>
  <si>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</si>
  <si>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</si>
  <si>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</si>
  <si>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</si>
  <si>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</si>
  <si>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</si>
  <si>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</si>
  <si>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</si>
  <si>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</si>
  <si>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</si>
  <si>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</si>
  <si>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</si>
  <si>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</si>
  <si>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</si>
  <si>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</si>
  <si>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</si>
  <si>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</si>
  <si>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</si>
  <si>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</si>
  <si>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</si>
  <si>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</si>
  <si>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</si>
  <si>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</si>
  <si>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</si>
  <si>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</si>
  <si>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</si>
  <si>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</si>
  <si>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</si>
  <si>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</si>
  <si>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</si>
  <si>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</si>
  <si>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</si>
  <si>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</si>
  <si>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</si>
  <si>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</si>
  <si>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</si>
  <si>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</si>
  <si>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</si>
  <si>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</si>
  <si>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</si>
  <si>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</si>
  <si>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</si>
  <si>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</si>
  <si>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</si>
  <si>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</si>
  <si>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</si>
  <si>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</si>
  <si>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</si>
  <si>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</si>
  <si>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</si>
  <si>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</si>
  <si>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</si>
  <si>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</si>
  <si>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</si>
  <si>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</si>
  <si>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</si>
  <si>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</si>
  <si>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</si>
  <si>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</si>
  <si>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</si>
  <si>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</si>
  <si>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</si>
  <si>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</si>
  <si>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</si>
  <si>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</si>
  <si>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</si>
  <si>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</si>
  <si>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</si>
  <si>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</si>
  <si>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</si>
  <si>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</si>
  <si>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</si>
  <si>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</si>
  <si>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</si>
  <si>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</si>
  <si>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</si>
  <si>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</si>
  <si>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</si>
  <si>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</si>
  <si>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</si>
  <si>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</si>
  <si>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</si>
  <si>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</si>
  <si>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</si>
  <si>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</si>
  <si>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</si>
  <si>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</si>
  <si>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</si>
  <si>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</si>
  <si>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</si>
  <si>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</si>
  <si>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</si>
  <si>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</si>
  <si>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</si>
  <si>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</si>
  <si>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</si>
  <si>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</si>
  <si>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</si>
  <si>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</si>
  <si>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</si>
  <si>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</si>
  <si>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</si>
  <si>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</si>
  <si>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</si>
  <si>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</si>
  <si>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</si>
  <si>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</si>
  <si>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</si>
  <si>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</si>
  <si>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</si>
  <si>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</si>
  <si>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</si>
  <si>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</si>
  <si>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</si>
  <si>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</si>
  <si>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</si>
  <si>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</si>
  <si>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</si>
  <si>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</si>
  <si>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</si>
  <si>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</si>
  <si>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</si>
  <si>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</si>
  <si>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</si>
  <si>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</si>
  <si>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</si>
  <si>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</si>
  <si>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</si>
  <si>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</si>
  <si>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</si>
  <si>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</si>
  <si>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</si>
  <si>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</si>
  <si>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</si>
  <si>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</si>
  <si>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</si>
  <si>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</si>
  <si>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</si>
  <si>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</si>
  <si>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</si>
  <si>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</si>
  <si>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</si>
  <si>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</si>
  <si>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</si>
  <si>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</si>
  <si>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</si>
  <si>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</si>
  <si>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</si>
  <si>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</si>
  <si>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</si>
  <si>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</si>
  <si>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</si>
  <si>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</si>
  <si>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</si>
  <si>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</si>
  <si>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</si>
  <si>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</si>
  <si>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</si>
  <si>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</si>
  <si>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</si>
  <si>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</si>
  <si>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</si>
  <si>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</si>
  <si>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</si>
  <si>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</si>
  <si>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</si>
  <si>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</si>
  <si>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</si>
  <si>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</si>
  <si>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</si>
  <si>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</si>
  <si>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</si>
  <si>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</si>
  <si>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</si>
  <si>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</si>
  <si>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</si>
  <si>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</si>
  <si>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</si>
  <si>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</si>
  <si>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</si>
  <si>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</si>
  <si>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</si>
  <si>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</si>
  <si>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</si>
  <si>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</si>
  <si>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</si>
  <si>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</si>
  <si>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</si>
  <si>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</si>
  <si>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</si>
  <si>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</si>
  <si>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</si>
  <si>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</si>
  <si>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</si>
  <si>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</si>
  <si>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</si>
  <si>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</si>
  <si>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</si>
  <si>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</si>
  <si>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</si>
  <si>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</si>
  <si>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</si>
  <si>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</si>
  <si>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</si>
  <si>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</si>
  <si>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</si>
  <si>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</si>
  <si>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</si>
  <si>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</si>
  <si>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</si>
  <si>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</si>
  <si>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</si>
  <si>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</si>
  <si>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</si>
  <si>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</si>
  <si>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</si>
  <si>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</si>
  <si>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</si>
  <si>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</si>
  <si>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</si>
  <si>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</si>
  <si>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</si>
  <si>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</si>
  <si>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</si>
  <si>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</si>
  <si>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</si>
  <si>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</si>
  <si>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</si>
  <si>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</si>
  <si>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</si>
  <si>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</si>
  <si>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</si>
  <si>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</si>
  <si>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</si>
  <si>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</si>
  <si>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</si>
  <si>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</si>
  <si>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</si>
  <si>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</si>
  <si>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</si>
  <si>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</si>
  <si>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</si>
  <si>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</si>
  <si>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</si>
  <si>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</si>
  <si>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</si>
  <si>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</si>
  <si>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A.Corbarieu</t>
  </si>
  <si>
    <t xml:space="preserve">conforme AFNOR T90-395 oct. 2003</t>
  </si>
  <si>
    <t xml:space="preserve">Lez</t>
  </si>
  <si>
    <t xml:space="preserve">Lattes</t>
  </si>
  <si>
    <t xml:space="preserve">06189500</t>
  </si>
  <si>
    <t xml:space="preserve">7178b-RCS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</si>
  <si>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</si>
  <si>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</si>
  <si>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</si>
  <si>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</si>
  <si>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</si>
  <si>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</si>
  <si>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</si>
  <si>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</si>
  <si>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</si>
  <si>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</si>
  <si>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</si>
  <si>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</si>
  <si>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</si>
  <si>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</si>
  <si>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</si>
  <si>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</si>
  <si>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</si>
  <si>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</si>
  <si>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</si>
  <si>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</si>
  <si>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</si>
  <si>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</si>
  <si>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</si>
  <si>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</si>
  <si>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</si>
  <si>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</si>
  <si>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</si>
  <si>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</si>
  <si>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</si>
  <si>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</si>
  <si>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</si>
  <si>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</si>
  <si>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</si>
  <si>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</si>
  <si>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</si>
  <si>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</si>
  <si>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</si>
  <si>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</si>
  <si>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</si>
  <si>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</si>
  <si>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</si>
  <si>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</si>
  <si>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</si>
  <si>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</si>
  <si>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</si>
  <si>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</si>
  <si>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</si>
  <si>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</si>
  <si>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(36,05 %)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</si>
  <si>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</si>
  <si>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</si>
  <si>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</si>
  <si>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</si>
  <si>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</si>
  <si>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</si>
  <si>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</si>
  <si>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</si>
  <si>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</si>
  <si>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</si>
  <si>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</si>
  <si>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</si>
  <si>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</si>
  <si>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</si>
  <si>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</si>
  <si>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</si>
  <si>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</si>
  <si>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</si>
  <si>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</si>
  <si>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Bidens frondosa</t>
  </si>
  <si>
    <t xml:space="preserve">newcod</t>
  </si>
  <si>
    <t xml:space="preserve">Carex otrubae</t>
  </si>
  <si>
    <t xml:space="preserve">Amorpha fructicosa</t>
  </si>
  <si>
    <t xml:space="preserve">Equisetum ramosissimum</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</si>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</sst>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4">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41519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7.65116279069768</v>
      </c>
      <c r="M5" s="323"/>
      <c r="N5" s="324" t="s">
        <v>258</v>
      </c>
      <c r="O5" s="325" t="n">
        <v>7.475</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5.70833333333333</v>
      </c>
      <c r="O8" s="354" t="n">
        <f aca="false">IF(ISERROR(AVERAGE(J23:J82)),"      -",AVERAGE(J23:J82))</f>
        <v>1.04166666666667</v>
      </c>
      <c r="P8" s="355"/>
      <c r="Q8" s="280"/>
      <c r="R8" s="280"/>
      <c r="S8" s="280"/>
      <c r="T8" s="280"/>
      <c r="U8" s="280"/>
      <c r="V8" s="280"/>
      <c r="W8" s="292"/>
      <c r="X8" s="293"/>
    </row>
    <row r="9" customFormat="false" ht="13.5" hidden="false" customHeight="false" outlineLevel="0" collapsed="false">
      <c r="A9" s="313" t="s">
        <v>2634</v>
      </c>
      <c r="B9" s="356" t="n">
        <v>36.05</v>
      </c>
      <c r="C9" s="357"/>
      <c r="D9" s="358"/>
      <c r="E9" s="358"/>
      <c r="F9" s="359" t="n">
        <f aca="false">($B9*$B$7+$C9*$C$7)/100</f>
        <v>36.05</v>
      </c>
      <c r="G9" s="360"/>
      <c r="H9" s="361"/>
      <c r="I9" s="362"/>
      <c r="J9" s="363"/>
      <c r="K9" s="343"/>
      <c r="L9" s="364"/>
      <c r="M9" s="353" t="s">
        <v>2635</v>
      </c>
      <c r="N9" s="354" t="n">
        <f aca="false">IF(ISERROR(STDEVP(I23:I82)),"     -",STDEVP(I23:I82))</f>
        <v>4.61410127278927</v>
      </c>
      <c r="O9" s="354" t="n">
        <f aca="false">IF(ISERROR(STDEVP(J23:J82)),"      -",STDEVP(J23:J82))</f>
        <v>0.934485895500242</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12</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5</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30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24</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19</v>
      </c>
      <c r="L15" s="386"/>
      <c r="M15" s="407" t="s">
        <v>2653</v>
      </c>
      <c r="N15" s="408" t="n">
        <f aca="false">COUNTIF(J23:J82,"=1")</f>
        <v>9</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36.05</v>
      </c>
      <c r="C20" s="436" t="n">
        <f aca="false">SUM(C23:C82)</f>
        <v>0</v>
      </c>
      <c r="D20" s="437"/>
      <c r="E20" s="438" t="s">
        <v>2659</v>
      </c>
      <c r="F20" s="439" t="n">
        <f aca="false">($B20*$B$7+$C20*$C$7)/100</f>
        <v>36.05</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36.05</v>
      </c>
      <c r="C21" s="449" t="n">
        <f aca="false">C20*C7/100</f>
        <v>0</v>
      </c>
      <c r="D21" s="381" t="str">
        <f aca="false">IF(F21=0,"",IF((ABS(F21-F19))&gt;(0.2*F21),CONCATENATE(" rec. par taxa (",F21," %) supérieur à 20 % !"),""))</f>
        <v> rec. par taxa (36,05 %) supérieur à 20 % !</v>
      </c>
      <c r="E21" s="450" t="str">
        <f aca="false">IF(F21=0,"",IF((ABS(F21-F19))&gt;(0.2*F21),CONCATENATE("ATTENTION : écart entre rec. par grp (",F19," %) ","et",""),""))</f>
        <v>ATTENTION : écart entre rec. par grp (0 %) et</v>
      </c>
      <c r="F21" s="451" t="n">
        <f aca="false">B21+C21</f>
        <v>36.05</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2.36</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2.36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2.36</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124</v>
      </c>
      <c r="B24" s="494" t="n">
        <v>0.74</v>
      </c>
      <c r="C24" s="495"/>
      <c r="D24" s="477" t="str">
        <f aca="false">IF(ISERROR(VLOOKUP($A24,'liste reference'!$A$7:$D$904,2,0)),IF(ISERROR(VLOOKUP($A24,'liste reference'!$B$7:$D$904,1,0)),"",VLOOKUP($A24,'liste reference'!$B$7:$D$904,1,0)),VLOOKUP($A24,'liste reference'!$A$7:$D$904,2,0))</f>
        <v>Compsopogon sp.</v>
      </c>
      <c r="E24" s="496" t="e">
        <f aca="false">IF(D24="",0,VLOOKUP(D24,D$22:D23,1,0))</f>
        <v>#N/A</v>
      </c>
      <c r="F24" s="497" t="n">
        <f aca="false">($B24*$B$7+$C24*$C$7)/100</f>
        <v>0.74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Compsopogon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6071</v>
      </c>
      <c r="Q24" s="486" t="n">
        <f aca="false">IF(ISTEXT(H24),"",(B24*$B$7/100)+(C24*$C$7/100))</f>
        <v>0.74</v>
      </c>
      <c r="R24" s="487" t="n">
        <f aca="false">IF(OR(ISTEXT(H24),Q24=0),"",IF(Q24&lt;0.1,1,IF(Q24&lt;1,2,IF(Q24&lt;10,3,IF(Q24&lt;50,4,IF(Q24&gt;=50,5,""))))))</f>
        <v>2</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COMSPX</v>
      </c>
      <c r="Z24" s="280" t="n">
        <f aca="false">IF(ISERROR(MATCH(A24,'liste reference'!$A$8:$A$904,0)),IF(ISERROR(MATCH(A24,'liste reference'!$B$8:$B$904,0)),"",(MATCH(A24,'liste reference'!$B$8:$B$904,0))),(MATCH(A24,'liste reference'!$A$8:$A$904,0)))</f>
        <v>24</v>
      </c>
      <c r="AA24" s="491"/>
      <c r="AB24" s="492"/>
      <c r="AC24" s="492"/>
      <c r="BB24" s="280" t="n">
        <f aca="false">IF(A24="","",1)</f>
        <v>1</v>
      </c>
    </row>
    <row r="25" customFormat="false" ht="12.75" hidden="false" customHeight="false" outlineLevel="0" collapsed="false">
      <c r="A25" s="493" t="s">
        <v>175</v>
      </c>
      <c r="B25" s="494" t="n">
        <v>0.25</v>
      </c>
      <c r="C25" s="495"/>
      <c r="D25" s="477" t="str">
        <f aca="false">IF(ISERROR(VLOOKUP($A25,'liste reference'!$A$7:$D$904,2,0)),IF(ISERROR(VLOOKUP($A25,'liste reference'!$B$7:$D$904,1,0)),"",VLOOKUP($A25,'liste reference'!$B$7:$D$904,1,0)),VLOOKUP($A25,'liste reference'!$A$7:$D$904,2,0))</f>
        <v>Microspora sp.</v>
      </c>
      <c r="E25" s="496" t="e">
        <f aca="false">IF(D25="",0,VLOOKUP(D25,D$22:D24,1,0))</f>
        <v>#N/A</v>
      </c>
      <c r="F25" s="497" t="n">
        <f aca="false">($B25*$B$7+$C25*$C$7)/100</f>
        <v>0.25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Microspora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1132</v>
      </c>
      <c r="Q25" s="486" t="n">
        <f aca="false">IF(ISTEXT(H25),"",(B25*$B$7/100)+(C25*$C$7/100))</f>
        <v>0.25</v>
      </c>
      <c r="R25" s="487" t="n">
        <f aca="false">IF(OR(ISTEXT(H25),Q25=0),"",IF(Q25&lt;0.1,1,IF(Q25&lt;1,2,IF(Q25&lt;10,3,IF(Q25&lt;50,4,IF(Q25&gt;=50,5,""))))))</f>
        <v>2</v>
      </c>
      <c r="S25" s="487" t="n">
        <f aca="false">IF(ISERROR(R25*I25),0,R25*I25)</f>
        <v>24</v>
      </c>
      <c r="T25" s="487" t="n">
        <f aca="false">IF(ISERROR(R25*I25*J25),0,R25*I25*J25)</f>
        <v>48</v>
      </c>
      <c r="U25" s="499" t="n">
        <f aca="false">IF(ISERROR(R25*J25),0,R25*J25)</f>
        <v>4</v>
      </c>
      <c r="V25" s="488" t="str">
        <f aca="false">IF(AND(A25="",F25=0),"",IF(F25=0,"Il manque le(s) % de rec. !",""))</f>
        <v/>
      </c>
      <c r="W25" s="489"/>
      <c r="Y25" s="490" t="str">
        <f aca="false">IF(A25="new.cod","NEWCOD",IF(AND((Z25=""),ISTEXT(A25)),A25,IF(Z25="","",INDEX('liste reference'!$A$8:$A$904,Z25))))</f>
        <v>MICSPX</v>
      </c>
      <c r="Z25" s="280" t="n">
        <f aca="false">IF(ISERROR(MATCH(A25,'liste reference'!$A$8:$A$904,0)),IF(ISERROR(MATCH(A25,'liste reference'!$B$8:$B$904,0)),"",(MATCH(A25,'liste reference'!$B$8:$B$904,0))),(MATCH(A25,'liste reference'!$A$8:$A$904,0)))</f>
        <v>41</v>
      </c>
      <c r="AA25" s="491"/>
      <c r="AB25" s="492"/>
      <c r="AC25" s="492"/>
      <c r="BB25" s="280" t="n">
        <f aca="false">IF(A25="","",1)</f>
        <v>1</v>
      </c>
    </row>
    <row r="26" customFormat="false" ht="12.75" hidden="false" customHeight="false" outlineLevel="0" collapsed="false">
      <c r="A26" s="493" t="s">
        <v>241</v>
      </c>
      <c r="B26" s="494" t="n">
        <v>0.03</v>
      </c>
      <c r="C26" s="495"/>
      <c r="D26" s="477" t="str">
        <f aca="false">IF(ISERROR(VLOOKUP($A26,'liste reference'!$A$7:$D$904,2,0)),IF(ISERROR(VLOOKUP($A26,'liste reference'!$B$7:$D$904,1,0)),"",VLOOKUP($A26,'liste reference'!$B$7:$D$904,1,0)),VLOOKUP($A26,'liste reference'!$A$7:$D$904,2,0))</f>
        <v>Rhizoclonium sp.</v>
      </c>
      <c r="E26" s="496" t="e">
        <f aca="false">IF(D26="",0,VLOOKUP(D26,D$22:D25,1,0))</f>
        <v>#N/A</v>
      </c>
      <c r="F26" s="497" t="n">
        <f aca="false">($B26*$B$7+$C26*$C$7)/100</f>
        <v>0.03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Rhizoclonium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1125</v>
      </c>
      <c r="Q26" s="486" t="n">
        <f aca="false">IF(ISTEXT(H26),"",(B26*$B$7/100)+(C26*$C$7/100))</f>
        <v>0.03</v>
      </c>
      <c r="R26" s="487" t="n">
        <f aca="false">IF(OR(ISTEXT(H26),Q26=0),"",IF(Q26&lt;0.1,1,IF(Q26&lt;1,2,IF(Q26&lt;10,3,IF(Q26&lt;50,4,IF(Q26&gt;=50,5,""))))))</f>
        <v>1</v>
      </c>
      <c r="S26" s="487" t="n">
        <f aca="false">IF(ISERROR(R26*I26),0,R26*I26)</f>
        <v>4</v>
      </c>
      <c r="T26" s="487" t="n">
        <f aca="false">IF(ISERROR(R26*I26*J26),0,R26*I26*J26)</f>
        <v>8</v>
      </c>
      <c r="U26" s="499" t="n">
        <f aca="false">IF(ISERROR(R26*J26),0,R26*J26)</f>
        <v>2</v>
      </c>
      <c r="V26" s="488" t="str">
        <f aca="false">IF(AND(A26="",F26=0),"",IF(F26=0,"Il manque le(s) % de rec. !",""))</f>
        <v/>
      </c>
      <c r="W26" s="489"/>
      <c r="Y26" s="490" t="str">
        <f aca="false">IF(A26="new.cod","NEWCOD",IF(AND((Z26=""),ISTEXT(A26)),A26,IF(Z26="","",INDEX('liste reference'!$A$8:$A$904,Z26))))</f>
        <v>RHISPX</v>
      </c>
      <c r="Z26" s="280" t="n">
        <f aca="false">IF(ISERROR(MATCH(A26,'liste reference'!$A$8:$A$904,0)),IF(ISERROR(MATCH(A26,'liste reference'!$B$8:$B$904,0)),"",(MATCH(A26,'liste reference'!$B$8:$B$904,0))),(MATCH(A26,'liste reference'!$A$8:$A$904,0)))</f>
        <v>62</v>
      </c>
      <c r="AA26" s="491"/>
      <c r="AB26" s="492"/>
      <c r="AC26" s="492"/>
      <c r="BB26" s="280" t="n">
        <f aca="false">IF(A26="","",1)</f>
        <v>1</v>
      </c>
    </row>
    <row r="27" customFormat="false" ht="12.75" hidden="false" customHeight="false" outlineLevel="0" collapsed="false">
      <c r="A27" s="493" t="s">
        <v>258</v>
      </c>
      <c r="B27" s="494" t="n">
        <v>1.53</v>
      </c>
      <c r="C27" s="495"/>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1.53</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1.53</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1277</v>
      </c>
      <c r="B28" s="494" t="n">
        <v>13</v>
      </c>
      <c r="C28" s="495"/>
      <c r="D28" s="477" t="str">
        <f aca="false">IF(ISERROR(VLOOKUP($A28,'liste reference'!$A$7:$D$904,2,0)),IF(ISERROR(VLOOKUP($A28,'liste reference'!$B$7:$D$904,1,0)),"",VLOOKUP($A28,'liste reference'!$B$7:$D$904,1,0)),VLOOKUP($A28,'liste reference'!$A$7:$D$904,2,0))</f>
        <v>Ceratophyllum demersum</v>
      </c>
      <c r="E28" s="496" t="e">
        <f aca="false">IF(D28="",0,VLOOKUP(D28,D$22:D27,1,0))</f>
        <v>#N/A</v>
      </c>
      <c r="F28" s="497" t="n">
        <f aca="false">($B28*$B$7+$C28*$C$7)/100</f>
        <v>13</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Ceratophyllum demersum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1717</v>
      </c>
      <c r="Q28" s="486" t="n">
        <f aca="false">IF(ISTEXT(H28),"",(B28*$B$7/100)+(C28*$C$7/100))</f>
        <v>13</v>
      </c>
      <c r="R28" s="487" t="n">
        <f aca="false">IF(OR(ISTEXT(H28),Q28=0),"",IF(Q28&lt;0.1,1,IF(Q28&lt;1,2,IF(Q28&lt;10,3,IF(Q28&lt;50,4,IF(Q28&gt;=50,5,""))))))</f>
        <v>4</v>
      </c>
      <c r="S28" s="487" t="n">
        <f aca="false">IF(ISERROR(R28*I28),0,R28*I28)</f>
        <v>20</v>
      </c>
      <c r="T28" s="487" t="n">
        <f aca="false">IF(ISERROR(R28*I28*J28),0,R28*I28*J28)</f>
        <v>40</v>
      </c>
      <c r="U28" s="499" t="n">
        <f aca="false">IF(ISERROR(R28*J28),0,R28*J28)</f>
        <v>8</v>
      </c>
      <c r="V28" s="488" t="str">
        <f aca="false">IF(AND(A28="",F28=0),"",IF(F28=0,"Il manque le(s) % de rec. !",""))</f>
        <v/>
      </c>
      <c r="W28" s="489"/>
      <c r="Y28" s="490" t="str">
        <f aca="false">IF(A28="new.cod","NEWCOD",IF(AND((Z28=""),ISTEXT(A28)),A28,IF(Z28="","",INDEX('liste reference'!$A$8:$A$904,Z28))))</f>
        <v>CERDEM</v>
      </c>
      <c r="Z28" s="280" t="n">
        <f aca="false">IF(ISERROR(MATCH(A28,'liste reference'!$A$8:$A$904,0)),IF(ISERROR(MATCH(A28,'liste reference'!$B$8:$B$904,0)),"",(MATCH(A28,'liste reference'!$B$8:$B$904,0))),(MATCH(A28,'liste reference'!$A$8:$A$904,0)))</f>
        <v>330</v>
      </c>
      <c r="AA28" s="491"/>
      <c r="AB28" s="492"/>
      <c r="AC28" s="492"/>
      <c r="BB28" s="280" t="n">
        <f aca="false">IF(A28="","",1)</f>
        <v>1</v>
      </c>
    </row>
    <row r="29" customFormat="false" ht="12.75" hidden="false" customHeight="false" outlineLevel="0" collapsed="false">
      <c r="A29" s="493" t="s">
        <v>1291</v>
      </c>
      <c r="B29" s="494" t="n">
        <v>0.05</v>
      </c>
      <c r="C29" s="495"/>
      <c r="D29" s="477" t="str">
        <f aca="false">IF(ISERROR(VLOOKUP($A29,'liste reference'!$A$7:$D$904,2,0)),IF(ISERROR(VLOOKUP($A29,'liste reference'!$B$7:$D$904,1,0)),"",VLOOKUP($A29,'liste reference'!$B$7:$D$904,1,0)),VLOOKUP($A29,'liste reference'!$A$7:$D$904,2,0))</f>
        <v>Egeria densa</v>
      </c>
      <c r="E29" s="496" t="e">
        <f aca="false">IF(D29="",0,VLOOKUP(D29,D$22:D28,1,0))</f>
        <v>#N/A</v>
      </c>
      <c r="F29" s="497" t="n">
        <f aca="false">($B29*$B$7+$C29*$C$7)/100</f>
        <v>0.05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Egeria densa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19626</v>
      </c>
      <c r="Q29" s="486" t="n">
        <f aca="false">IF(ISTEXT(H29),"",(B29*$B$7/100)+(C29*$C$7/100))</f>
        <v>0.05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EGEDEN</v>
      </c>
      <c r="Z29" s="280" t="n">
        <f aca="false">IF(ISERROR(MATCH(A29,'liste reference'!$A$8:$A$904,0)),IF(ISERROR(MATCH(A29,'liste reference'!$B$8:$B$904,0)),"",(MATCH(A29,'liste reference'!$B$8:$B$904,0))),(MATCH(A29,'liste reference'!$A$8:$A$904,0)))</f>
        <v>337</v>
      </c>
      <c r="AA29" s="491"/>
      <c r="AB29" s="492"/>
      <c r="AC29" s="492"/>
      <c r="BB29" s="280" t="n">
        <f aca="false">IF(A29="","",1)</f>
        <v>1</v>
      </c>
    </row>
    <row r="30" customFormat="false" ht="12.75" hidden="false" customHeight="false" outlineLevel="0" collapsed="false">
      <c r="A30" s="493" t="s">
        <v>1335</v>
      </c>
      <c r="B30" s="494" t="n">
        <v>0.05</v>
      </c>
      <c r="C30" s="495"/>
      <c r="D30" s="477" t="str">
        <f aca="false">IF(ISERROR(VLOOKUP($A30,'liste reference'!$A$7:$D$904,2,0)),IF(ISERROR(VLOOKUP($A30,'liste reference'!$B$7:$D$904,1,0)),"",VLOOKUP($A30,'liste reference'!$B$7:$D$904,1,0)),VLOOKUP($A30,'liste reference'!$A$7:$D$904,2,0))</f>
        <v>Lemna gibba</v>
      </c>
      <c r="E30" s="496" t="e">
        <f aca="false">IF(D30="",0,VLOOKUP(D30,D$22:D22,1,0))</f>
        <v>#N/A</v>
      </c>
      <c r="F30" s="497" t="n">
        <f aca="false">($B30*$B$7+$C30*$C$7)/100</f>
        <v>0.05</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5</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Lemna gibba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1625</v>
      </c>
      <c r="Q30" s="486" t="n">
        <f aca="false">IF(ISTEXT(H30),"",(B30*$B$7/100)+(C30*$C$7/100))</f>
        <v>0.05</v>
      </c>
      <c r="R30" s="487" t="n">
        <f aca="false">IF(OR(ISTEXT(H30),Q30=0),"",IF(Q30&lt;0.1,1,IF(Q30&lt;1,2,IF(Q30&lt;10,3,IF(Q30&lt;50,4,IF(Q30&gt;=50,5,""))))))</f>
        <v>1</v>
      </c>
      <c r="S30" s="487" t="n">
        <f aca="false">IF(ISERROR(R30*I30),0,R30*I30)</f>
        <v>5</v>
      </c>
      <c r="T30" s="487" t="n">
        <f aca="false">IF(ISERROR(R30*I30*J30),0,R30*I30*J30)</f>
        <v>15</v>
      </c>
      <c r="U30" s="499" t="n">
        <f aca="false">IF(ISERROR(R30*J30),0,R30*J30)</f>
        <v>3</v>
      </c>
      <c r="V30" s="488" t="str">
        <f aca="false">IF(AND(A30="",F30=0),"",IF(F30=0,"Il manque le(s) % de rec. !",""))</f>
        <v/>
      </c>
      <c r="W30" s="489"/>
      <c r="Y30" s="490" t="str">
        <f aca="false">IF(A30="new.cod","NEWCOD",IF(AND((Z30=""),ISTEXT(A30)),A30,IF(Z30="","",INDEX('liste reference'!$A$8:$A$904,Z30))))</f>
        <v>LEMGIB</v>
      </c>
      <c r="Z30" s="280" t="n">
        <f aca="false">IF(ISERROR(MATCH(A30,'liste reference'!$A$8:$A$904,0)),IF(ISERROR(MATCH(A30,'liste reference'!$B$8:$B$904,0)),"",(MATCH(A30,'liste reference'!$B$8:$B$904,0))),(MATCH(A30,'liste reference'!$A$8:$A$904,0)))</f>
        <v>356</v>
      </c>
      <c r="AA30" s="491"/>
      <c r="AB30" s="492"/>
      <c r="AC30" s="492"/>
      <c r="BB30" s="280" t="n">
        <f aca="false">IF(A30="","",1)</f>
        <v>1</v>
      </c>
    </row>
    <row r="31" customFormat="false" ht="12.75" hidden="false" customHeight="false" outlineLevel="0" collapsed="false">
      <c r="A31" s="493" t="s">
        <v>1477</v>
      </c>
      <c r="B31" s="494" t="n">
        <v>0.005</v>
      </c>
      <c r="C31" s="495"/>
      <c r="D31" s="477" t="str">
        <f aca="false">IF(ISERROR(VLOOKUP($A31,'liste reference'!$A$7:$D$904,2,0)),IF(ISERROR(VLOOKUP($A31,'liste reference'!$B$7:$D$904,1,0)),"",VLOOKUP($A31,'liste reference'!$B$7:$D$904,1,0)),VLOOKUP($A31,'liste reference'!$A$7:$D$904,2,0))</f>
        <v>Potamogeton nodosus</v>
      </c>
      <c r="E31" s="496" t="e">
        <f aca="false">IF(D31="",0,VLOOKUP(D31,D$22:D24,1,0))</f>
        <v>#N/A</v>
      </c>
      <c r="F31" s="497" t="n">
        <f aca="false">($B31*$B$7+$C31*$C$7)/100</f>
        <v>0.005</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nodosus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1652</v>
      </c>
      <c r="Q31" s="486" t="n">
        <f aca="false">IF(ISTEXT(H31),"",(B31*$B$7/100)+(C31*$C$7/100))</f>
        <v>0.005</v>
      </c>
      <c r="R31" s="487" t="n">
        <f aca="false">IF(OR(ISTEXT(H31),Q31=0),"",IF(Q31&lt;0.1,1,IF(Q31&lt;1,2,IF(Q31&lt;10,3,IF(Q31&lt;50,4,IF(Q31&gt;=50,5,""))))))</f>
        <v>1</v>
      </c>
      <c r="S31" s="487" t="n">
        <f aca="false">IF(ISERROR(R31*I31),0,R31*I31)</f>
        <v>4</v>
      </c>
      <c r="T31" s="487" t="n">
        <f aca="false">IF(ISERROR(R31*I31*J31),0,R31*I31*J31)</f>
        <v>12</v>
      </c>
      <c r="U31" s="499" t="n">
        <f aca="false">IF(ISERROR(R31*J31),0,R31*J31)</f>
        <v>3</v>
      </c>
      <c r="V31" s="488" t="str">
        <f aca="false">IF(AND(A31="",F31=0),"",IF(F31=0,"Il manque le(s) % de rec. !",""))</f>
        <v/>
      </c>
      <c r="W31" s="489"/>
      <c r="Y31" s="490" t="str">
        <f aca="false">IF(A31="new.cod","NEWCOD",IF(AND((Z31=""),ISTEXT(A31)),A31,IF(Z31="","",INDEX('liste reference'!$A$8:$A$904,Z31))))</f>
        <v>POTNOD</v>
      </c>
      <c r="Z31" s="280" t="n">
        <f aca="false">IF(ISERROR(MATCH(A31,'liste reference'!$A$8:$A$904,0)),IF(ISERROR(MATCH(A31,'liste reference'!$B$8:$B$904,0)),"",(MATCH(A31,'liste reference'!$B$8:$B$904,0))),(MATCH(A31,'liste reference'!$A$8:$A$904,0)))</f>
        <v>418</v>
      </c>
      <c r="AA31" s="491"/>
      <c r="AB31" s="492"/>
      <c r="AC31" s="492"/>
      <c r="BB31" s="280" t="n">
        <f aca="false">IF(A31="","",1)</f>
        <v>1</v>
      </c>
    </row>
    <row r="32" customFormat="false" ht="12.75" hidden="false" customHeight="false" outlineLevel="0" collapsed="false">
      <c r="A32" s="493" t="s">
        <v>1671</v>
      </c>
      <c r="B32" s="494" t="n">
        <v>2.26</v>
      </c>
      <c r="C32" s="495"/>
      <c r="D32" s="477" t="str">
        <f aca="false">IF(ISERROR(VLOOKUP($A32,'liste reference'!$A$7:$D$904,2,0)),IF(ISERROR(VLOOKUP($A32,'liste reference'!$B$7:$D$904,1,0)),"",VLOOKUP($A32,'liste reference'!$B$7:$D$904,1,0)),VLOOKUP($A32,'liste reference'!$A$7:$D$904,2,0))</f>
        <v>Vallisneria spiralis</v>
      </c>
      <c r="E32" s="496" t="e">
        <f aca="false">IF(D32="",0,VLOOKUP(D32,D$22:D31,1,0))</f>
        <v>#N/A</v>
      </c>
      <c r="F32" s="497" t="n">
        <f aca="false">($B32*$B$7+$C32*$C$7)/100</f>
        <v>2.26</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8</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Vallisneria spiralis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1598</v>
      </c>
      <c r="Q32" s="486" t="n">
        <f aca="false">IF(ISTEXT(H32),"",(B32*$B$7/100)+(C32*$C$7/100))</f>
        <v>2.26</v>
      </c>
      <c r="R32" s="487" t="n">
        <f aca="false">IF(OR(ISTEXT(H32),Q32=0),"",IF(Q32&lt;0.1,1,IF(Q32&lt;1,2,IF(Q32&lt;10,3,IF(Q32&lt;50,4,IF(Q32&gt;=50,5,""))))))</f>
        <v>3</v>
      </c>
      <c r="S32" s="487" t="n">
        <f aca="false">IF(ISERROR(R32*I32),0,R32*I32)</f>
        <v>24</v>
      </c>
      <c r="T32" s="487" t="n">
        <f aca="false">IF(ISERROR(R32*I32*J32),0,R32*I32*J32)</f>
        <v>48</v>
      </c>
      <c r="U32" s="499" t="n">
        <f aca="false">IF(ISERROR(R32*J32),0,R32*J32)</f>
        <v>6</v>
      </c>
      <c r="V32" s="488" t="str">
        <f aca="false">IF(AND(A32="",F32=0),"",IF(F32=0,"Il manque le(s) % de rec. !",""))</f>
        <v/>
      </c>
      <c r="W32" s="489"/>
      <c r="Y32" s="490" t="str">
        <f aca="false">IF(A32="new.cod","NEWCOD",IF(AND((Z32=""),ISTEXT(A32)),A32,IF(Z32="","",INDEX('liste reference'!$A$8:$A$904,Z32))))</f>
        <v>VALSPI</v>
      </c>
      <c r="Z32" s="280" t="n">
        <f aca="false">IF(ISERROR(MATCH(A32,'liste reference'!$A$8:$A$904,0)),IF(ISERROR(MATCH(A32,'liste reference'!$B$8:$B$904,0)),"",(MATCH(A32,'liste reference'!$B$8:$B$904,0))),(MATCH(A32,'liste reference'!$A$8:$A$904,0)))</f>
        <v>498</v>
      </c>
      <c r="AA32" s="491"/>
      <c r="AB32" s="492"/>
      <c r="AC32" s="492"/>
      <c r="BB32" s="280" t="n">
        <f aca="false">IF(A32="","",1)</f>
        <v>1</v>
      </c>
    </row>
    <row r="33" customFormat="false" ht="12.75" hidden="false" customHeight="false" outlineLevel="0" collapsed="false">
      <c r="A33" s="493" t="s">
        <v>1708</v>
      </c>
      <c r="B33" s="494" t="n">
        <v>0.01</v>
      </c>
      <c r="C33" s="495"/>
      <c r="D33" s="477" t="str">
        <f aca="false">IF(ISERROR(VLOOKUP($A33,'liste reference'!$A$7:$D$904,2,0)),IF(ISERROR(VLOOKUP($A33,'liste reference'!$B$7:$D$904,1,0)),"",VLOOKUP($A33,'liste reference'!$B$7:$D$904,1,0)),VLOOKUP($A33,'liste reference'!$A$7:$D$904,2,0))</f>
        <v>Agrostis stolonifera</v>
      </c>
      <c r="E33" s="496" t="e">
        <f aca="false">IF(D33="",0,VLOOKUP(D33,D$22:D32,1,0))</f>
        <v>#N/A</v>
      </c>
      <c r="F33" s="497" t="n">
        <f aca="false">($B33*$B$7+$C33*$C$7)/100</f>
        <v>0.01</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1543</v>
      </c>
      <c r="Q33" s="486" t="n">
        <f aca="false">IF(ISTEXT(H33),"",(B33*$B$7/100)+(C33*$C$7/100))</f>
        <v>0.01</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AGRSTO</v>
      </c>
      <c r="Z33" s="280" t="n">
        <f aca="false">IF(ISERROR(MATCH(A33,'liste reference'!$A$8:$A$904,0)),IF(ISERROR(MATCH(A33,'liste reference'!$B$8:$B$904,0)),"",(MATCH(A33,'liste reference'!$B$8:$B$904,0))),(MATCH(A33,'liste reference'!$A$8:$A$904,0)))</f>
        <v>514</v>
      </c>
      <c r="AA33" s="491"/>
      <c r="AB33" s="492"/>
      <c r="AC33" s="492"/>
      <c r="BB33" s="280" t="n">
        <f aca="false">IF(A33="","",1)</f>
        <v>1</v>
      </c>
    </row>
    <row r="34" customFormat="false" ht="12.75" hidden="false" customHeight="false" outlineLevel="0" collapsed="false">
      <c r="A34" s="493" t="s">
        <v>1882</v>
      </c>
      <c r="B34" s="494" t="n">
        <v>0.005</v>
      </c>
      <c r="C34" s="495"/>
      <c r="D34" s="477" t="str">
        <f aca="false">IF(ISERROR(VLOOKUP($A34,'liste reference'!$A$7:$D$904,2,0)),IF(ISERROR(VLOOKUP($A34,'liste reference'!$B$7:$D$904,1,0)),"",VLOOKUP($A34,'liste reference'!$B$7:$D$904,1,0)),VLOOKUP($A34,'liste reference'!$A$7:$D$904,2,0))</f>
        <v>Iris pseudacorus</v>
      </c>
      <c r="E34" s="496" t="e">
        <f aca="false">IF(D34="",0,VLOOKUP(D34,D$22:D26,1,0))</f>
        <v>#N/A</v>
      </c>
      <c r="F34" s="500" t="n">
        <f aca="false">($B34*$B$7+$C34*$C$7)/100</f>
        <v>0.005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Iris pseudacorus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1601</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IRIPSE</v>
      </c>
      <c r="Z34" s="280" t="n">
        <f aca="false">IF(ISERROR(MATCH(A34,'liste reference'!$A$8:$A$904,0)),IF(ISERROR(MATCH(A34,'liste reference'!$B$8:$B$904,0)),"",(MATCH(A34,'liste reference'!$B$8:$B$904,0))),(MATCH(A34,'liste reference'!$A$8:$A$904,0)))</f>
        <v>582</v>
      </c>
      <c r="AA34" s="491"/>
      <c r="AB34" s="492"/>
      <c r="AC34" s="492"/>
      <c r="BB34" s="280" t="n">
        <f aca="false">IF(A34="","",1)</f>
        <v>1</v>
      </c>
    </row>
    <row r="35" customFormat="false" ht="12.75" hidden="false" customHeight="false" outlineLevel="0" collapsed="false">
      <c r="A35" s="493" t="s">
        <v>1895</v>
      </c>
      <c r="B35" s="494" t="n">
        <v>0.01</v>
      </c>
      <c r="C35" s="495"/>
      <c r="D35" s="477" t="str">
        <f aca="false">IF(ISERROR(VLOOKUP($A35,'liste reference'!$A$7:$D$904,2,0)),IF(ISERROR(VLOOKUP($A35,'liste reference'!$B$7:$D$904,1,0)),"",VLOOKUP($A35,'liste reference'!$B$7:$D$904,1,0)),VLOOKUP($A35,'liste reference'!$A$7:$D$904,2,0))</f>
        <v>Juncus inflexus</v>
      </c>
      <c r="E35" s="496" t="e">
        <f aca="false">IF(D35="",0,VLOOKUP(D35,D$22:D34,1,0))</f>
        <v>#N/A</v>
      </c>
      <c r="F35" s="500" t="n">
        <f aca="false">($B35*$B$7+$C35*$C$7)/100</f>
        <v>0.01</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Juncus inflexus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1616</v>
      </c>
      <c r="Q35" s="486" t="n">
        <f aca="false">IF(ISTEXT(H35),"",(B35*$B$7/100)+(C35*$C$7/100))</f>
        <v>0.01</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JUNINF</v>
      </c>
      <c r="Z35" s="280" t="n">
        <f aca="false">IF(ISERROR(MATCH(A35,'liste reference'!$A$8:$A$904,0)),IF(ISERROR(MATCH(A35,'liste reference'!$B$8:$B$904,0)),"",(MATCH(A35,'liste reference'!$B$8:$B$904,0))),(MATCH(A35,'liste reference'!$A$8:$A$904,0)))</f>
        <v>588</v>
      </c>
      <c r="AA35" s="491"/>
      <c r="AB35" s="492"/>
      <c r="AC35" s="492"/>
      <c r="BB35" s="280" t="n">
        <f aca="false">IF(A35="","",1)</f>
        <v>1</v>
      </c>
    </row>
    <row r="36" customFormat="false" ht="12.75" hidden="false" customHeight="false" outlineLevel="0" collapsed="false">
      <c r="A36" s="493" t="s">
        <v>1906</v>
      </c>
      <c r="B36" s="494" t="n">
        <v>0.07</v>
      </c>
      <c r="C36" s="495"/>
      <c r="D36" s="477" t="str">
        <f aca="false">IF(ISERROR(VLOOKUP($A36,'liste reference'!$A$7:$D$904,2,0)),IF(ISERROR(VLOOKUP($A36,'liste reference'!$B$7:$D$904,1,0)),"",VLOOKUP($A36,'liste reference'!$B$7:$D$904,1,0)),VLOOKUP($A36,'liste reference'!$A$7:$D$904,2,0))</f>
        <v>Ludwigia grandiflora</v>
      </c>
      <c r="E36" s="496" t="e">
        <f aca="false">IF(D36="",0,VLOOKUP(D36,D$22:D35,1,0))</f>
        <v>#N/A</v>
      </c>
      <c r="F36" s="500" t="n">
        <f aca="false">($B36*$B$7+$C36*$C$7)/100</f>
        <v>0.07</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Ludwigia grandiflora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19845</v>
      </c>
      <c r="Q36" s="486" t="n">
        <f aca="false">IF(ISTEXT(H36),"",(B36*$B$7/100)+(C36*$C$7/100))</f>
        <v>0.07</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LUDGRA</v>
      </c>
      <c r="Z36" s="280" t="n">
        <f aca="false">IF(ISERROR(MATCH(A36,'liste reference'!$A$8:$A$904,0)),IF(ISERROR(MATCH(A36,'liste reference'!$B$8:$B$904,0)),"",(MATCH(A36,'liste reference'!$B$8:$B$904,0))),(MATCH(A36,'liste reference'!$A$8:$A$904,0)))</f>
        <v>593</v>
      </c>
      <c r="AA36" s="491"/>
      <c r="AB36" s="492"/>
      <c r="AC36" s="492"/>
      <c r="BB36" s="280" t="n">
        <f aca="false">IF(A36="","",1)</f>
        <v>1</v>
      </c>
    </row>
    <row r="37" customFormat="false" ht="12.75" hidden="false" customHeight="false" outlineLevel="0" collapsed="false">
      <c r="A37" s="493" t="s">
        <v>1908</v>
      </c>
      <c r="B37" s="494" t="n">
        <v>15.26</v>
      </c>
      <c r="C37" s="495"/>
      <c r="D37" s="477" t="str">
        <f aca="false">IF(ISERROR(VLOOKUP($A37,'liste reference'!$A$7:$D$904,2,0)),IF(ISERROR(VLOOKUP($A37,'liste reference'!$B$7:$D$904,1,0)),"",VLOOKUP($A37,'liste reference'!$B$7:$D$904,1,0)),VLOOKUP($A37,'liste reference'!$A$7:$D$904,2,0))</f>
        <v>Ludwigia peploides</v>
      </c>
      <c r="E37" s="496" t="e">
        <f aca="false">IF(D37="",0,VLOOKUP(D37,D$22:D36,1,0))</f>
        <v>#N/A</v>
      </c>
      <c r="F37" s="500" t="n">
        <f aca="false">($B37*$B$7+$C37*$C$7)/100</f>
        <v>15.26</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Ludwigia peploides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1856</v>
      </c>
      <c r="Q37" s="486" t="n">
        <f aca="false">IF(ISTEXT(H37),"",(B37*$B$7/100)+(C37*$C$7/100))</f>
        <v>15.26</v>
      </c>
      <c r="R37" s="487" t="n">
        <f aca="false">IF(OR(ISTEXT(H37),Q37=0),"",IF(Q37&lt;0.1,1,IF(Q37&lt;1,2,IF(Q37&lt;10,3,IF(Q37&lt;50,4,IF(Q37&gt;=50,5,""))))))</f>
        <v>4</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LUDPEP</v>
      </c>
      <c r="Z37" s="280" t="n">
        <f aca="false">IF(ISERROR(MATCH(A37,'liste reference'!$A$8:$A$904,0)),IF(ISERROR(MATCH(A37,'liste reference'!$B$8:$B$904,0)),"",(MATCH(A37,'liste reference'!$B$8:$B$904,0))),(MATCH(A37,'liste reference'!$A$8:$A$904,0)))</f>
        <v>594</v>
      </c>
      <c r="AA37" s="491"/>
      <c r="AB37" s="492"/>
      <c r="AC37" s="492"/>
      <c r="BB37" s="280" t="n">
        <f aca="false">IF(A37="","",1)</f>
        <v>1</v>
      </c>
    </row>
    <row r="38" customFormat="false" ht="12.75" hidden="false" customHeight="false" outlineLevel="0" collapsed="false">
      <c r="A38" s="493" t="s">
        <v>1913</v>
      </c>
      <c r="B38" s="494" t="n">
        <v>0.005</v>
      </c>
      <c r="C38" s="495"/>
      <c r="D38" s="477" t="str">
        <f aca="false">IF(ISERROR(VLOOKUP($A38,'liste reference'!$A$7:$D$904,2,0)),IF(ISERROR(VLOOKUP($A38,'liste reference'!$B$7:$D$904,1,0)),"",VLOOKUP($A38,'liste reference'!$B$7:$D$904,1,0)),VLOOKUP($A38,'liste reference'!$A$7:$D$904,2,0))</f>
        <v>Lycopus europaeus</v>
      </c>
      <c r="E38" s="496" t="e">
        <f aca="false">IF(D38="",0,VLOOKUP(D38,D$22:D37,1,0))</f>
        <v>#N/A</v>
      </c>
      <c r="F38" s="500" t="n">
        <f aca="false">($B38*$B$7+$C38*$C$7)/100</f>
        <v>0.005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11</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Lycopus europaeus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1789</v>
      </c>
      <c r="Q38" s="486" t="n">
        <f aca="false">IF(ISTEXT(H38),"",(B38*$B$7/100)+(C38*$C$7/100))</f>
        <v>0.005</v>
      </c>
      <c r="R38" s="487" t="n">
        <f aca="false">IF(OR(ISTEXT(H38),Q38=0),"",IF(Q38&lt;0.1,1,IF(Q38&lt;1,2,IF(Q38&lt;10,3,IF(Q38&lt;50,4,IF(Q38&gt;=50,5,""))))))</f>
        <v>1</v>
      </c>
      <c r="S38" s="487" t="n">
        <f aca="false">IF(ISERROR(R38*I38),0,R38*I38)</f>
        <v>11</v>
      </c>
      <c r="T38" s="487" t="n">
        <f aca="false">IF(ISERROR(R38*I38*J38),0,R38*I38*J38)</f>
        <v>11</v>
      </c>
      <c r="U38" s="499" t="n">
        <f aca="false">IF(ISERROR(R38*J38),0,R38*J38)</f>
        <v>1</v>
      </c>
      <c r="V38" s="488" t="str">
        <f aca="false">IF(AND(A38="",F38=0),"",IF(F38=0,"Il manque le(s) % de rec. !",""))</f>
        <v/>
      </c>
      <c r="W38" s="489"/>
      <c r="X38" s="489"/>
      <c r="Y38" s="490" t="str">
        <f aca="false">IF(A38="new.cod","NEWCOD",IF(AND((Z38=""),ISTEXT(A38)),A38,IF(Z38="","",INDEX('liste reference'!$A$8:$A$904,Z38))))</f>
        <v>LYCEUR</v>
      </c>
      <c r="Z38" s="280" t="n">
        <f aca="false">IF(ISERROR(MATCH(A38,'liste reference'!$A$8:$A$904,0)),IF(ISERROR(MATCH(A38,'liste reference'!$B$8:$B$904,0)),"",(MATCH(A38,'liste reference'!$B$8:$B$904,0))),(MATCH(A38,'liste reference'!$A$8:$A$904,0)))</f>
        <v>596</v>
      </c>
      <c r="AA38" s="491"/>
      <c r="AB38" s="492"/>
      <c r="AC38" s="492"/>
      <c r="BB38" s="280" t="n">
        <f aca="false">IF(A38="","",1)</f>
        <v>1</v>
      </c>
    </row>
    <row r="39" customFormat="false" ht="12.75" hidden="false" customHeight="false" outlineLevel="0" collapsed="false">
      <c r="A39" s="493" t="s">
        <v>1936</v>
      </c>
      <c r="B39" s="494" t="n">
        <v>0.03</v>
      </c>
      <c r="C39" s="495"/>
      <c r="D39" s="477" t="str">
        <f aca="false">IF(ISERROR(VLOOKUP($A39,'liste reference'!$A$7:$D$904,2,0)),IF(ISERROR(VLOOKUP($A39,'liste reference'!$B$7:$D$904,1,0)),"",VLOOKUP($A39,'liste reference'!$B$7:$D$904,1,0)),VLOOKUP($A39,'liste reference'!$A$7:$D$904,2,0))</f>
        <v>Mentha aquatica</v>
      </c>
      <c r="E39" s="496" t="e">
        <f aca="false">IF(D39="",0,VLOOKUP(D39,D$22:D38,1,0))</f>
        <v>#N/A</v>
      </c>
      <c r="F39" s="500" t="n">
        <f aca="false">($B39*$B$7+$C39*$C$7)/100</f>
        <v>0.03</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aquatica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1791</v>
      </c>
      <c r="Q39" s="486" t="n">
        <f aca="false">IF(ISTEXT(H39),"",(B39*$B$7/100)+(C39*$C$7/100))</f>
        <v>0.03</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489"/>
      <c r="Y39" s="490" t="str">
        <f aca="false">IF(A39="new.cod","NEWCOD",IF(AND((Z39=""),ISTEXT(A39)),A39,IF(Z39="","",INDEX('liste reference'!$A$8:$A$904,Z39))))</f>
        <v>MENAQU</v>
      </c>
      <c r="Z39" s="280" t="n">
        <f aca="false">IF(ISERROR(MATCH(A39,'liste reference'!$A$8:$A$904,0)),IF(ISERROR(MATCH(A39,'liste reference'!$B$8:$B$904,0)),"",(MATCH(A39,'liste reference'!$B$8:$B$904,0))),(MATCH(A39,'liste reference'!$A$8:$A$904,0)))</f>
        <v>607</v>
      </c>
      <c r="AA39" s="491"/>
      <c r="AB39" s="492"/>
      <c r="AC39" s="492"/>
      <c r="BB39" s="280" t="n">
        <f aca="false">IF(A39="","",1)</f>
        <v>1</v>
      </c>
    </row>
    <row r="40" customFormat="false" ht="12.75" hidden="false" customHeight="false" outlineLevel="0" collapsed="false">
      <c r="A40" s="493" t="s">
        <v>1984</v>
      </c>
      <c r="B40" s="494" t="n">
        <v>0.005</v>
      </c>
      <c r="C40" s="495"/>
      <c r="D40" s="477" t="str">
        <f aca="false">IF(ISERROR(VLOOKUP($A40,'liste reference'!$A$7:$D$904,2,0)),IF(ISERROR(VLOOKUP($A40,'liste reference'!$B$7:$D$904,1,0)),"",VLOOKUP($A40,'liste reference'!$B$7:$D$904,1,0)),VLOOKUP($A40,'liste reference'!$A$7:$D$904,2,0))</f>
        <v>Nasturtium officinale</v>
      </c>
      <c r="E40" s="496" t="e">
        <f aca="false">IF(D40="",0,VLOOKUP(D40,D$22:D39,1,0))</f>
        <v>#N/A</v>
      </c>
      <c r="F40" s="500" t="n">
        <f aca="false">($B40*$B$7+$C40*$C$7)/100</f>
        <v>0.005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11</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Nasturtium officinale</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1763</v>
      </c>
      <c r="Q40" s="486" t="n">
        <f aca="false">IF(ISTEXT(H40),"",(B40*$B$7/100)+(C40*$C$7/100))</f>
        <v>0.005</v>
      </c>
      <c r="R40" s="487" t="n">
        <f aca="false">IF(OR(ISTEXT(H40),Q40=0),"",IF(Q40&lt;0.1,1,IF(Q40&lt;1,2,IF(Q40&lt;10,3,IF(Q40&lt;50,4,IF(Q40&gt;=50,5,""))))))</f>
        <v>1</v>
      </c>
      <c r="S40" s="487" t="n">
        <f aca="false">IF(ISERROR(R40*I40),0,R40*I40)</f>
        <v>11</v>
      </c>
      <c r="T40" s="487" t="n">
        <f aca="false">IF(ISERROR(R40*I40*J40),0,R40*I40*J40)</f>
        <v>11</v>
      </c>
      <c r="U40" s="499" t="n">
        <f aca="false">IF(ISERROR(R40*J40),0,R40*J40)</f>
        <v>1</v>
      </c>
      <c r="V40" s="488" t="str">
        <f aca="false">IF(AND(A40="",F40=0),"",IF(F40=0,"Il manque le(s) % de rec. !",""))</f>
        <v/>
      </c>
      <c r="W40" s="489"/>
      <c r="Y40" s="490" t="str">
        <f aca="false">IF(A40="new.cod","NEWCOD",IF(AND((Z40=""),ISTEXT(A40)),A40,IF(Z40="","",INDEX('liste reference'!$A$8:$A$904,Z40))))</f>
        <v>NASOFF</v>
      </c>
      <c r="Z40" s="280" t="n">
        <f aca="false">IF(ISERROR(MATCH(A40,'liste reference'!$A$8:$A$904,0)),IF(ISERROR(MATCH(A40,'liste reference'!$B$8:$B$904,0)),"",(MATCH(A40,'liste reference'!$B$8:$B$904,0))),(MATCH(A40,'liste reference'!$A$8:$A$904,0)))</f>
        <v>628</v>
      </c>
      <c r="AA40" s="491"/>
      <c r="AB40" s="492"/>
      <c r="AC40" s="492"/>
      <c r="BB40" s="280" t="n">
        <f aca="false">IF(A40="","",1)</f>
        <v>1</v>
      </c>
    </row>
    <row r="41" customFormat="false" ht="12.75" hidden="false" customHeight="false" outlineLevel="0" collapsed="false">
      <c r="A41" s="493" t="s">
        <v>2000</v>
      </c>
      <c r="B41" s="494" t="n">
        <v>0.06</v>
      </c>
      <c r="C41" s="495"/>
      <c r="D41" s="477" t="str">
        <f aca="false">IF(ISERROR(VLOOKUP($A41,'liste reference'!$A$7:$D$904,2,0)),IF(ISERROR(VLOOKUP($A41,'liste reference'!$B$7:$D$904,1,0)),"",VLOOKUP($A41,'liste reference'!$B$7:$D$904,1,0)),VLOOKUP($A41,'liste reference'!$A$7:$D$904,2,0))</f>
        <v>Phalaris arundinacea</v>
      </c>
      <c r="E41" s="496" t="e">
        <f aca="false">IF(D41="",0,VLOOKUP(D41,D$22:D40,1,0))</f>
        <v>#N/A</v>
      </c>
      <c r="F41" s="500" t="n">
        <f aca="false">($B41*$B$7+$C41*$C$7)/100</f>
        <v>0.06</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10</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Phalaris arundinacea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1577</v>
      </c>
      <c r="Q41" s="486" t="n">
        <f aca="false">IF(ISTEXT(H41),"",(B41*$B$7/100)+(C41*$C$7/100))</f>
        <v>0.06</v>
      </c>
      <c r="R41" s="487" t="n">
        <f aca="false">IF(OR(ISTEXT(H41),Q41=0),"",IF(Q41&lt;0.1,1,IF(Q41&lt;1,2,IF(Q41&lt;10,3,IF(Q41&lt;50,4,IF(Q41&gt;=50,5,""))))))</f>
        <v>1</v>
      </c>
      <c r="S41" s="487" t="n">
        <f aca="false">IF(ISERROR(R41*I41),0,R41*I41)</f>
        <v>10</v>
      </c>
      <c r="T41" s="487" t="n">
        <f aca="false">IF(ISERROR(R41*I41*J41),0,R41*I41*J41)</f>
        <v>10</v>
      </c>
      <c r="U41" s="499" t="n">
        <f aca="false">IF(ISERROR(R41*J41),0,R41*J41)</f>
        <v>1</v>
      </c>
      <c r="V41" s="488" t="str">
        <f aca="false">IF(AND(A41="",F41=0),"",IF(F41=0,"Il manque le(s) % de rec. !",""))</f>
        <v/>
      </c>
      <c r="W41" s="501"/>
      <c r="Y41" s="490" t="str">
        <f aca="false">IF(A41="new.cod","NEWCOD",IF(AND((Z41=""),ISTEXT(A41)),A41,IF(Z41="","",INDEX('liste reference'!$A$8:$A$904,Z41))))</f>
        <v>PHAARU</v>
      </c>
      <c r="Z41" s="280" t="n">
        <f aca="false">IF(ISERROR(MATCH(A41,'liste reference'!$A$8:$A$904,0)),IF(ISERROR(MATCH(A41,'liste reference'!$B$8:$B$904,0)),"",(MATCH(A41,'liste reference'!$B$8:$B$904,0))),(MATCH(A41,'liste reference'!$A$8:$A$904,0)))</f>
        <v>634</v>
      </c>
      <c r="AA41" s="491"/>
      <c r="AB41" s="492"/>
      <c r="AC41" s="492"/>
      <c r="BB41" s="280" t="n">
        <f aca="false">IF(A41="","",1)</f>
        <v>1</v>
      </c>
    </row>
    <row r="42" customFormat="false" ht="12.75" hidden="false" customHeight="false" outlineLevel="0" collapsed="false">
      <c r="A42" s="493" t="s">
        <v>2002</v>
      </c>
      <c r="B42" s="494" t="n">
        <v>0.1</v>
      </c>
      <c r="C42" s="495"/>
      <c r="D42" s="477" t="str">
        <f aca="false">IF(ISERROR(VLOOKUP($A42,'liste reference'!$A$7:$D$904,2,0)),IF(ISERROR(VLOOKUP($A42,'liste reference'!$B$7:$D$904,1,0)),"",VLOOKUP($A42,'liste reference'!$B$7:$D$904,1,0)),VLOOKUP($A42,'liste reference'!$A$7:$D$904,2,0))</f>
        <v>Phragmites australis</v>
      </c>
      <c r="E42" s="496" t="e">
        <f aca="false">IF(D42="",0,VLOOKUP(D42,D$22:D41,1,0))</f>
        <v>#N/A</v>
      </c>
      <c r="F42" s="500" t="n">
        <f aca="false">($B42*$B$7+$C42*$C$7)/100</f>
        <v>0.1</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9</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Phragmites australis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1579</v>
      </c>
      <c r="Q42" s="486" t="n">
        <f aca="false">IF(ISTEXT(H42),"",(B42*$B$7/100)+(C42*$C$7/100))</f>
        <v>0.1</v>
      </c>
      <c r="R42" s="487" t="n">
        <f aca="false">IF(OR(ISTEXT(H42),Q42=0),"",IF(Q42&lt;0.1,1,IF(Q42&lt;1,2,IF(Q42&lt;10,3,IF(Q42&lt;50,4,IF(Q42&gt;=50,5,""))))))</f>
        <v>2</v>
      </c>
      <c r="S42" s="487" t="n">
        <f aca="false">IF(ISERROR(R42*I42),0,R42*I42)</f>
        <v>18</v>
      </c>
      <c r="T42" s="487" t="n">
        <f aca="false">IF(ISERROR(R42*I42*J42),0,R42*I42*J42)</f>
        <v>36</v>
      </c>
      <c r="U42" s="499" t="n">
        <f aca="false">IF(ISERROR(R42*J42),0,R42*J42)</f>
        <v>4</v>
      </c>
      <c r="V42" s="488" t="str">
        <f aca="false">IF(AND(A42="",F42=0),"",IF(F42=0,"Il manque le(s) % de rec. !",""))</f>
        <v/>
      </c>
      <c r="W42" s="489"/>
      <c r="Y42" s="490" t="str">
        <f aca="false">IF(A42="new.cod","NEWCOD",IF(AND((Z42=""),ISTEXT(A42)),A42,IF(Z42="","",INDEX('liste reference'!$A$8:$A$904,Z42))))</f>
        <v>PHRAUS</v>
      </c>
      <c r="Z42" s="280" t="n">
        <f aca="false">IF(ISERROR(MATCH(A42,'liste reference'!$A$8:$A$904,0)),IF(ISERROR(MATCH(A42,'liste reference'!$B$8:$B$904,0)),"",(MATCH(A42,'liste reference'!$B$8:$B$904,0))),(MATCH(A42,'liste reference'!$A$8:$A$904,0)))</f>
        <v>635</v>
      </c>
      <c r="AA42" s="491"/>
      <c r="AB42" s="492"/>
      <c r="AC42" s="492"/>
      <c r="BB42" s="280" t="n">
        <f aca="false">IF(A42="","",1)</f>
        <v>1</v>
      </c>
    </row>
    <row r="43" customFormat="false" ht="12.75" hidden="false" customHeight="false" outlineLevel="0" collapsed="false">
      <c r="A43" s="493" t="s">
        <v>2080</v>
      </c>
      <c r="B43" s="494" t="n">
        <v>0.03</v>
      </c>
      <c r="C43" s="495"/>
      <c r="D43" s="477" t="str">
        <f aca="false">IF(ISERROR(VLOOKUP($A43,'liste reference'!$A$7:$D$904,2,0)),IF(ISERROR(VLOOKUP($A43,'liste reference'!$B$7:$D$904,1,0)),"",VLOOKUP($A43,'liste reference'!$B$7:$D$904,1,0)),VLOOKUP($A43,'liste reference'!$A$7:$D$904,2,0))</f>
        <v>Sparganium erectum</v>
      </c>
      <c r="E43" s="496" t="e">
        <f aca="false">IF(D43="",0,VLOOKUP(D43,D$22:D42,1,0))</f>
        <v>#N/A</v>
      </c>
      <c r="F43" s="500" t="n">
        <f aca="false">($B43*$B$7+$C43*$C$7)/100</f>
        <v>0.03</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Sparganium erectum</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1671</v>
      </c>
      <c r="Q43" s="486" t="n">
        <f aca="false">IF(ISTEXT(H43),"",(B43*$B$7/100)+(C43*$C$7/100))</f>
        <v>0.03</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489"/>
      <c r="Y43" s="490" t="str">
        <f aca="false">IF(A43="new.cod","NEWCOD",IF(AND((Z43=""),ISTEXT(A43)),A43,IF(Z43="","",INDEX('liste reference'!$A$8:$A$904,Z43))))</f>
        <v>SPAERE</v>
      </c>
      <c r="Z43" s="280" t="n">
        <f aca="false">IF(ISERROR(MATCH(A43,'liste reference'!$A$8:$A$904,0)),IF(ISERROR(MATCH(A43,'liste reference'!$B$8:$B$904,0)),"",(MATCH(A43,'liste reference'!$B$8:$B$904,0))),(MATCH(A43,'liste reference'!$A$8:$A$904,0)))</f>
        <v>668</v>
      </c>
      <c r="AA43" s="491"/>
      <c r="AB43" s="492"/>
      <c r="AC43" s="492"/>
      <c r="BB43" s="280" t="n">
        <f aca="false">IF(A43="","",1)</f>
        <v>1</v>
      </c>
    </row>
    <row r="44" customFormat="false" ht="12.75" hidden="false" customHeight="false" outlineLevel="0" collapsed="false">
      <c r="A44" s="493" t="s">
        <v>2202</v>
      </c>
      <c r="B44" s="494" t="n">
        <v>0.005</v>
      </c>
      <c r="C44" s="495"/>
      <c r="D44" s="477" t="str">
        <f aca="false">IF(ISERROR(VLOOKUP($A44,'liste reference'!$A$7:$D$904,2,0)),IF(ISERROR(VLOOKUP($A44,'liste reference'!$B$7:$D$904,1,0)),"",VLOOKUP($A44,'liste reference'!$B$7:$D$904,1,0)),VLOOKUP($A44,'liste reference'!$A$7:$D$904,2,0))</f>
        <v>Cyperus eragrostis</v>
      </c>
      <c r="E44" s="496" t="e">
        <f aca="false">IF(D44="",0,VLOOKUP(D44,D$22:D43,1,0))</f>
        <v>#N/A</v>
      </c>
      <c r="F44" s="500" t="n">
        <f aca="false">($B44*$B$7+$C44*$C$7)/100</f>
        <v>0.005</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Cyperus eragrostis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19611</v>
      </c>
      <c r="Q44" s="486" t="n">
        <f aca="false">IF(ISTEXT(H44),"",(B44*$B$7/100)+(C44*$C$7/100))</f>
        <v>0.005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CYPERA</v>
      </c>
      <c r="Z44" s="280" t="n">
        <f aca="false">IF(ISERROR(MATCH(A44,'liste reference'!$A$8:$A$904,0)),IF(ISERROR(MATCH(A44,'liste reference'!$B$8:$B$904,0)),"",(MATCH(A44,'liste reference'!$B$8:$B$904,0))),(MATCH(A44,'liste reference'!$A$8:$A$904,0)))</f>
        <v>723</v>
      </c>
      <c r="AA44" s="491"/>
      <c r="AB44" s="492"/>
      <c r="AC44" s="492"/>
      <c r="BB44" s="280" t="n">
        <f aca="false">IF(A44="","",1)</f>
        <v>1</v>
      </c>
    </row>
    <row r="45" customFormat="false" ht="12.75" hidden="false" customHeight="false" outlineLevel="0" collapsed="false">
      <c r="A45" s="493" t="s">
        <v>2307</v>
      </c>
      <c r="B45" s="494" t="n">
        <v>0.01</v>
      </c>
      <c r="C45" s="495"/>
      <c r="D45" s="477" t="str">
        <f aca="false">IF(ISERROR(VLOOKUP($A45,'liste reference'!$A$7:$D$904,2,0)),IF(ISERROR(VLOOKUP($A45,'liste reference'!$B$7:$D$904,1,0)),"",VLOOKUP($A45,'liste reference'!$B$7:$D$904,1,0)),VLOOKUP($A45,'liste reference'!$A$7:$D$904,2,0))</f>
        <v>Juncus articulatus</v>
      </c>
      <c r="E45" s="496" t="e">
        <f aca="false">IF(D45="",0,VLOOKUP(D45,D$22:D44,1,0))</f>
        <v>#N/A</v>
      </c>
      <c r="F45" s="500" t="n">
        <f aca="false">($B45*$B$7+$C45*$C$7)/100</f>
        <v>0.01</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Juncus articulatus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1609</v>
      </c>
      <c r="Q45" s="486" t="n">
        <f aca="false">IF(ISTEXT(H45),"",(B45*$B$7/100)+(C45*$C$7/100))</f>
        <v>0.01</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JUNART</v>
      </c>
      <c r="Z45" s="280" t="n">
        <f aca="false">IF(ISERROR(MATCH(A45,'liste reference'!$A$8:$A$904,0)),IF(ISERROR(MATCH(A45,'liste reference'!$B$8:$B$904,0)),"",(MATCH(A45,'liste reference'!$B$8:$B$904,0))),(MATCH(A45,'liste reference'!$A$8:$A$904,0)))</f>
        <v>768</v>
      </c>
      <c r="AA45" s="491"/>
      <c r="AB45" s="492"/>
      <c r="AC45" s="492"/>
      <c r="BB45" s="280" t="n">
        <f aca="false">IF(A45="","",1)</f>
        <v>1</v>
      </c>
    </row>
    <row r="46" customFormat="false" ht="12.75" hidden="false" customHeight="false" outlineLevel="0" collapsed="false">
      <c r="A46" s="493" t="s">
        <v>2369</v>
      </c>
      <c r="B46" s="494" t="n">
        <v>0.005</v>
      </c>
      <c r="C46" s="495"/>
      <c r="D46" s="477" t="str">
        <f aca="false">IF(ISERROR(VLOOKUP($A46,'liste reference'!$A$7:$D$904,2,0)),IF(ISERROR(VLOOKUP($A46,'liste reference'!$B$7:$D$904,1,0)),"",VLOOKUP($A46,'liste reference'!$B$7:$D$904,1,0)),VLOOKUP($A46,'liste reference'!$A$7:$D$904,2,0))</f>
        <v>Polygonum lapathifolium</v>
      </c>
      <c r="E46" s="496" t="e">
        <f aca="false">IF(D46="",0,VLOOKUP(D46,D$22:D45,1,0))</f>
        <v>#N/A</v>
      </c>
      <c r="F46" s="500" t="n">
        <f aca="false">($B46*$B$7+$C46*$C$7)/100</f>
        <v>0.005</v>
      </c>
      <c r="G46" s="479" t="str">
        <f aca="false">IF(A46="","",IF(ISERROR(VLOOKUP($A46,'liste reference'!$A$7:$P$904,13,0)),IF(ISERROR(VLOOKUP($A46,'liste reference'!$B$7:$P$904,12,0)),"    -",VLOOKUP($A46,'liste reference'!$B$7:$P$904,12,0)),VLOOKUP($A46,'liste reference'!$A$7:$P$904,13,0)))</f>
        <v>PHg</v>
      </c>
      <c r="H46" s="480" t="n">
        <f aca="false">IF(A46="","x",IF(ISERROR(VLOOKUP($A46,'liste reference'!$A$8:$P$904,14,0)),IF(ISERROR(VLOOKUP($A46,'liste reference'!$B$8:$P$904,13,0)),"x",VLOOKUP($A46,'liste reference'!$B$8:$P$904,13,0)),VLOOKUP($A46,'liste reference'!$A$8:$P$904,14,0)))</f>
        <v>9</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Polygonum lapathifolium</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1866</v>
      </c>
      <c r="Q46" s="486" t="n">
        <f aca="false">IF(ISTEXT(H46),"",(B46*$B$7/100)+(C46*$C$7/100))</f>
        <v>0.005</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POLLAP</v>
      </c>
      <c r="Z46" s="280" t="n">
        <f aca="false">IF(ISERROR(MATCH(A46,'liste reference'!$A$8:$A$904,0)),IF(ISERROR(MATCH(A46,'liste reference'!$B$8:$B$904,0)),"",(MATCH(A46,'liste reference'!$B$8:$B$904,0))),(MATCH(A46,'liste reference'!$A$8:$A$904,0)))</f>
        <v>796</v>
      </c>
      <c r="AA46" s="491"/>
      <c r="AB46" s="492"/>
      <c r="AC46" s="492"/>
      <c r="BB46" s="280" t="n">
        <f aca="false">IF(A46="","",1)</f>
        <v>1</v>
      </c>
    </row>
    <row r="47" customFormat="false" ht="12.75" hidden="false" customHeight="false" outlineLevel="0" collapsed="false">
      <c r="A47" s="493" t="s">
        <v>2684</v>
      </c>
      <c r="B47" s="494" t="n">
        <v>0.005</v>
      </c>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0.005</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Bidens frondosa</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2685</v>
      </c>
      <c r="AC47" s="492"/>
      <c r="BB47" s="280" t="n">
        <f aca="false">IF(A47="","",1)</f>
        <v>1</v>
      </c>
    </row>
    <row r="48" customFormat="false" ht="12.75" hidden="false" customHeight="false" outlineLevel="0" collapsed="false">
      <c r="A48" s="493" t="s">
        <v>2686</v>
      </c>
      <c r="B48" s="494" t="n">
        <v>0.005</v>
      </c>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0.005</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Carex otrubae</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2687</v>
      </c>
      <c r="AC48" s="492"/>
      <c r="BB48" s="280" t="n">
        <f aca="false">IF(A48="","",1)</f>
        <v>1</v>
      </c>
    </row>
    <row r="49" customFormat="false" ht="12.75" hidden="false" customHeight="false" outlineLevel="0" collapsed="false">
      <c r="A49" s="493" t="s">
        <v>2684</v>
      </c>
      <c r="B49" s="494" t="n">
        <v>0.005</v>
      </c>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0.005</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Amorpha fructicosa</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2688</v>
      </c>
      <c r="AC49" s="492"/>
      <c r="BB49" s="280" t="n">
        <f aca="false">IF(A49="","",1)</f>
        <v>1</v>
      </c>
    </row>
    <row r="50" customFormat="false" ht="12.75" hidden="false" customHeight="false" outlineLevel="0" collapsed="false">
      <c r="A50" s="493" t="s">
        <v>2686</v>
      </c>
      <c r="B50" s="494" t="n">
        <v>0.01</v>
      </c>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0.01</v>
      </c>
      <c r="G50" s="479" t="str">
        <f aca="false">IF(A50="","",IF(ISERROR(VLOOKUP($A50,'liste reference'!$A$7:$P$904,13,0)),IF(ISERROR(VLOOKUP($A50,'liste reference'!$B$7:$P$904,12,0)),"    -",VLOOKUP($A50,'liste reference'!$B$7:$P$904,12,0)),VLOOKUP($A50,'liste reference'!$A$7:$P$904,13,0)))</f>
        <v>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Equisetum ramosissimum</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No</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newcod</v>
      </c>
      <c r="Z50" s="280" t="str">
        <f aca="false">IF(ISERROR(MATCH(A50,'liste reference'!$A$8:$A$904,0)),IF(ISERROR(MATCH(A50,'liste reference'!$B$8:$B$904,0)),"",(MATCH(A50,'liste reference'!$B$8:$B$904,0))),(MATCH(A50,'liste reference'!$A$8:$A$904,0)))</f>
        <v/>
      </c>
      <c r="AA50" s="491"/>
      <c r="AB50" s="492" t="s">
        <v>2689</v>
      </c>
      <c r="AC50" s="492"/>
      <c r="BB50" s="280" t="n">
        <f aca="false">IF(A50="","",1)</f>
        <v>1</v>
      </c>
    </row>
    <row r="51" customFormat="false" ht="12.75" hidden="false" customHeight="false" outlineLevel="0" collapsed="false">
      <c r="A51" s="493" t="s">
        <v>2686</v>
      </c>
      <c r="B51" s="494" t="n">
        <v>0.005</v>
      </c>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0.005</v>
      </c>
      <c r="G51" s="479" t="str">
        <f aca="false">IF(A51="","",IF(ISERROR(VLOOKUP($A51,'liste reference'!$A$7:$P$904,13,0)),IF(ISERROR(VLOOKUP($A51,'liste reference'!$B$7:$P$904,12,0)),"    -",VLOOKUP($A51,'liste reference'!$B$7:$P$904,12,0)),VLOOKUP($A51,'liste reference'!$A$7:$P$904,13,0)))</f>
        <v>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Calystegia sepium</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newcod</v>
      </c>
      <c r="Z51" s="280" t="str">
        <f aca="false">IF(ISERROR(MATCH(A51,'liste reference'!$A$8:$A$904,0)),IF(ISERROR(MATCH(A51,'liste reference'!$B$8:$B$904,0)),"",(MATCH(A51,'liste reference'!$B$8:$B$904,0))),(MATCH(A51,'liste reference'!$A$8:$A$904,0)))</f>
        <v/>
      </c>
      <c r="AA51" s="491"/>
      <c r="AB51" s="492" t="s">
        <v>2168</v>
      </c>
      <c r="AC51" s="492"/>
      <c r="BB51" s="280" t="n">
        <f aca="false">IF(A51="","",1)</f>
        <v>1</v>
      </c>
    </row>
    <row r="52" customFormat="false" ht="12.75" hidden="false" customHeight="false" outlineLevel="0" collapsed="false">
      <c r="A52" s="493" t="s">
        <v>2684</v>
      </c>
      <c r="B52" s="494" t="n">
        <v>0.14</v>
      </c>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0.14</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Paspalum distichum</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c r="AB52" s="492" t="s">
        <v>2690</v>
      </c>
      <c r="AC52" s="492"/>
      <c r="BB52" s="280" t="n">
        <f aca="false">IF(A52="","",1)</f>
        <v>1</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Lez</v>
      </c>
      <c r="B84" s="529" t="str">
        <f aca="false">C3</f>
        <v>Lattes</v>
      </c>
      <c r="C84" s="530" t="n">
        <f aca="false">A4</f>
        <v>41519</v>
      </c>
      <c r="D84" s="531" t="n">
        <f aca="false">IF(ISERROR(SUM($T$23:$T$82)/SUM($U$23:$U$82)),"",SUM($T$23:$T$82)/SUM($U$23:$U$82))</f>
        <v>7.65116279069768</v>
      </c>
      <c r="E84" s="532" t="n">
        <f aca="false">N13</f>
        <v>30</v>
      </c>
      <c r="F84" s="529" t="n">
        <f aca="false">N14</f>
        <v>24</v>
      </c>
      <c r="G84" s="529" t="n">
        <f aca="false">N15</f>
        <v>9</v>
      </c>
      <c r="H84" s="529" t="n">
        <f aca="false">N16</f>
        <v>5</v>
      </c>
      <c r="I84" s="529" t="n">
        <f aca="false">N17</f>
        <v>2</v>
      </c>
      <c r="J84" s="533" t="n">
        <f aca="false">N8</f>
        <v>5.70833333333333</v>
      </c>
      <c r="K84" s="531" t="n">
        <f aca="false">N9</f>
        <v>4.61410127278927</v>
      </c>
      <c r="L84" s="532" t="n">
        <f aca="false">N10</f>
        <v>0</v>
      </c>
      <c r="M84" s="532" t="n">
        <f aca="false">N11</f>
        <v>12</v>
      </c>
      <c r="N84" s="531" t="n">
        <f aca="false">O8</f>
        <v>1.04166666666667</v>
      </c>
      <c r="O84" s="531" t="n">
        <f aca="false">O9</f>
        <v>0.934485895500242</v>
      </c>
      <c r="P84" s="532" t="n">
        <f aca="false">O10</f>
        <v>0</v>
      </c>
      <c r="Q84" s="532" t="n">
        <f aca="false">O11</f>
        <v>3</v>
      </c>
      <c r="R84" s="532" t="n">
        <f aca="false">F21</f>
        <v>36.05</v>
      </c>
      <c r="S84" s="532" t="n">
        <f aca="false">K11</f>
        <v>0</v>
      </c>
      <c r="T84" s="532" t="n">
        <f aca="false">K12</f>
        <v>5</v>
      </c>
      <c r="U84" s="532" t="n">
        <f aca="false">K13</f>
        <v>0</v>
      </c>
      <c r="V84" s="534" t="n">
        <f aca="false">K14</f>
        <v>0</v>
      </c>
      <c r="W84" s="535" t="n">
        <f aca="false">K15</f>
        <v>19</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30</v>
      </c>
      <c r="T87" s="280"/>
      <c r="U87" s="280"/>
      <c r="V87" s="280"/>
    </row>
    <row r="88" customFormat="false" ht="12.75" hidden="true" customHeight="false" outlineLevel="0" collapsed="false">
      <c r="P88" s="280"/>
      <c r="Q88" s="280" t="s">
        <v>2694</v>
      </c>
      <c r="R88" s="280"/>
      <c r="S88" s="488" t="n">
        <f aca="false">VLOOKUP((S87),($S$23:$U$82),2,0)</f>
        <v>30</v>
      </c>
      <c r="T88" s="280"/>
      <c r="U88" s="280"/>
      <c r="V88" s="280"/>
    </row>
    <row r="89" customFormat="false" ht="12.75" hidden="true" customHeight="false" outlineLevel="0" collapsed="false">
      <c r="Q89" s="280" t="s">
        <v>2695</v>
      </c>
      <c r="R89" s="280"/>
      <c r="S89" s="488" t="n">
        <f aca="false">VLOOKUP((S87),($S$23:$U$82),3,0)</f>
        <v>3</v>
      </c>
      <c r="T89" s="280"/>
    </row>
    <row r="90" customFormat="false" ht="12.75" hidden="false" customHeight="false" outlineLevel="0" collapsed="false">
      <c r="Q90" s="280" t="s">
        <v>2696</v>
      </c>
      <c r="R90" s="280"/>
      <c r="S90" s="538" t="n">
        <f aca="false">IF(ISERROR(SUM($T$23:$T$82)/SUM($U$23:$U$82)),"",(SUM($T$23:$T$82)-S88)/(SUM($U$23:$U$82)-S89))</f>
        <v>7.475</v>
      </c>
      <c r="T90" s="280"/>
    </row>
    <row r="91" customFormat="false" ht="12.75" hidden="false" customHeight="false" outlineLevel="0" collapsed="false">
      <c r="Q91" s="487" t="s">
        <v>2697</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2698</v>
      </c>
      <c r="R92" s="280"/>
      <c r="S92" s="280" t="n">
        <f aca="false">MATCH(S87,$S$23:$S$82,0)</f>
        <v>5</v>
      </c>
      <c r="T92" s="280"/>
    </row>
    <row r="93" customFormat="false" ht="12.75" hidden="false" customHeight="false" outlineLevel="0" collapsed="false">
      <c r="Q93" s="487" t="s">
        <v>2699</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53:A82">
    <cfRule type="expression" priority="2" aboveAverage="0" equalAverage="0" bottom="0" percent="0" rank="0" text="" dxfId="11">
      <formula>ISTEXT($E53)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conditionalFormatting sqref="A23:A52">
    <cfRule type="expression" priority="28" aboveAverage="0" equalAverage="0" bottom="0" percent="0" rank="0" text="" dxfId="37">
      <formula>ISTEXT($E23)</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8">
      <formula>ISTEXT($E23)</formula>
    </cfRule>
  </conditionalFormatting>
  <conditionalFormatting sqref="H23:J82">
    <cfRule type="cellIs" priority="3" operator="equal" aboveAverage="0" equalAverage="0" bottom="0" percent="0" rank="0" text="" dxfId="39">
      <formula>"x"</formula>
    </cfRule>
  </conditionalFormatting>
  <conditionalFormatting sqref="W23:X23">
    <cfRule type="cellIs" priority="4" operator="equal" aboveAverage="0" equalAverage="0" bottom="0" percent="0" rank="0" text="" dxfId="40">
      <formula>"DEJA SAISI !"</formula>
    </cfRule>
    <cfRule type="cellIs" priority="5" operator="equal" aboveAverage="0" equalAverage="0" bottom="0" percent="0" rank="0" text="" dxfId="41">
      <formula>"non répertorié"</formula>
    </cfRule>
    <cfRule type="expression" priority="6" aboveAverage="0" equalAverage="0" bottom="0" percent="0" rank="0" text="" dxfId="42">
      <formula>AND(ISTEXT($G$23),ISBLANK($I$23))</formula>
    </cfRule>
  </conditionalFormatting>
  <conditionalFormatting sqref="L27:O82 O23:O82 K23:K82">
    <cfRule type="cellIs" priority="7" operator="equal" aboveAverage="0" equalAverage="0" bottom="0" percent="0" rank="0" text="" dxfId="43">
      <formula>"code non répertorié ou synonyme"</formula>
    </cfRule>
    <cfRule type="expression" priority="8" aboveAverage="0" equalAverage="0" bottom="0" percent="0" rank="0" text="" dxfId="44">
      <formula>AND($I27="",$J27="")</formula>
    </cfRule>
    <cfRule type="cellIs" priority="9" operator="equal" aboveAverage="0" equalAverage="0" bottom="0" percent="0" rank="0" text="" dxfId="45">
      <formula>"DEJA SAISI !"</formula>
    </cfRule>
  </conditionalFormatting>
  <conditionalFormatting sqref="A2">
    <cfRule type="cellIs" priority="10" operator="between" aboveAverage="0" equalAverage="0" bottom="0" percent="0" rank="0" text="" dxfId="46">
      <formula>"(organisme)"</formula>
      <formula>"(organisme)"</formula>
    </cfRule>
    <cfRule type="cellIs" priority="11" operator="notBetween" aboveAverage="0" equalAverage="0" bottom="0" percent="0" rank="0" text="" dxfId="47">
      <formula>"(organisme)"</formula>
      <formula>"(organisme)"</formula>
    </cfRule>
  </conditionalFormatting>
  <conditionalFormatting sqref="A3">
    <cfRule type="cellIs" priority="12" operator="between" aboveAverage="0" equalAverage="0" bottom="0" percent="0" rank="0" text="" dxfId="48">
      <formula>"(cours d'eau)"</formula>
      <formula>"(cours d'eau)"</formula>
    </cfRule>
    <cfRule type="cellIs" priority="13" operator="notBetween" aboveAverage="0" equalAverage="0" bottom="0" percent="0" rank="0" text="" dxfId="49">
      <formula>"(cours d'eau)"</formula>
      <formula>"(cours d'eau)"</formula>
    </cfRule>
  </conditionalFormatting>
  <conditionalFormatting sqref="A4">
    <cfRule type="cellIs" priority="14" operator="between" aboveAverage="0" equalAverage="0" bottom="0" percent="0" rank="0" text="" dxfId="50">
      <formula>"(Date)"</formula>
      <formula>"(Date)"</formula>
    </cfRule>
    <cfRule type="cellIs" priority="15" operator="notBetween" aboveAverage="0" equalAverage="0" bottom="0" percent="0" rank="0" text="" dxfId="51">
      <formula>"(Date)"</formula>
      <formula>"(Date)"</formula>
    </cfRule>
  </conditionalFormatting>
  <conditionalFormatting sqref="C2">
    <cfRule type="cellIs" priority="16" operator="between" aboveAverage="0" equalAverage="0" bottom="0" percent="0" rank="0" text="" dxfId="52">
      <formula>"(Opérateurs)"</formula>
      <formula>"(Opérateurs)"</formula>
    </cfRule>
    <cfRule type="cellIs" priority="17" operator="notBetween" aboveAverage="0" equalAverage="0" bottom="0" percent="0" rank="0" text="" dxfId="53">
      <formula>"(Opérateurs)"</formula>
      <formula>"(Opérateurs)"</formula>
    </cfRule>
  </conditionalFormatting>
  <conditionalFormatting sqref="C3">
    <cfRule type="cellIs" priority="18" operator="between" aboveAverage="0" equalAverage="0" bottom="0" percent="0" rank="0" text="" dxfId="54">
      <formula>"(Nom de la station)"</formula>
      <formula>"(Nom de la station)"</formula>
    </cfRule>
    <cfRule type="cellIs" priority="19" operator="notBetween" aboveAverage="0" equalAverage="0" bottom="0" percent="0" rank="0" text="" dxfId="55">
      <formula>"(Nom de la station)"</formula>
      <formula>"(Nom de la station)"</formula>
    </cfRule>
  </conditionalFormatting>
  <conditionalFormatting sqref="K3">
    <cfRule type="cellIs" priority="20" operator="between" aboveAverage="0" equalAverage="0" bottom="0" percent="0" rank="0" text="" dxfId="56">
      <formula>"(Code station)"</formula>
      <formula>"(Code station)"</formula>
    </cfRule>
    <cfRule type="cellIs" priority="21" operator="notBetween" aboveAverage="0" equalAverage="0" bottom="0" percent="0" rank="0" text="" dxfId="57">
      <formula>"(Code station)"</formula>
      <formula>"(Code station)"</formula>
    </cfRule>
  </conditionalFormatting>
  <conditionalFormatting sqref="M3">
    <cfRule type="cellIs" priority="22" operator="between" aboveAverage="0" equalAverage="0" bottom="0" percent="0" rank="0" text="" dxfId="58">
      <formula>"(Dossier, type réseau)"</formula>
      <formula>"(Dossier, type réseau)"</formula>
    </cfRule>
    <cfRule type="cellIs" priority="23" operator="notBetween" aboveAverage="0" equalAverage="0" bottom="0" percent="0" rank="0" text="" dxfId="59">
      <formula>"(Dossier, type réseau)"</formula>
      <formula>"(Dossier, type réseau)"</formula>
    </cfRule>
  </conditionalFormatting>
  <conditionalFormatting sqref="K23:K82">
    <cfRule type="cellIs" priority="24" operator="equal" aboveAverage="0" equalAverage="0" bottom="0" percent="0" rank="0" text="" dxfId="60">
      <formula>"Remplir le champs 'Nouveau taxa' svp."</formula>
    </cfRule>
  </conditionalFormatting>
  <conditionalFormatting sqref="P23:P82">
    <cfRule type="cellIs" priority="25" operator="equal" aboveAverage="0" equalAverage="0" bottom="0" percent="0" rank="0" text="" dxfId="61">
      <formula>"code non répertorié ou synonyme"</formula>
    </cfRule>
    <cfRule type="expression" priority="26" aboveAverage="0" equalAverage="0" bottom="0" percent="0" rank="0" text="" dxfId="62">
      <formula>AND($I23="",$J23="")</formula>
    </cfRule>
    <cfRule type="cellIs" priority="27" operator="equal" aboveAverage="0" equalAverage="0" bottom="0" percent="0" rank="0" text="" dxfId="63">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2715</v>
      </c>
      <c r="G18" s="577"/>
      <c r="H18" s="576" t="s">
        <v>2715</v>
      </c>
      <c r="I18" s="578"/>
    </row>
    <row r="19" customFormat="false" ht="15" hidden="false" customHeight="false" outlineLevel="0" collapsed="false">
      <c r="A19" s="565" t="s">
        <v>1711</v>
      </c>
      <c r="B19" s="566" t="s">
        <v>1712</v>
      </c>
      <c r="C19" s="568"/>
      <c r="D19" s="569"/>
      <c r="F19" s="576" t="s">
        <v>2716</v>
      </c>
      <c r="G19" s="577"/>
      <c r="H19" s="576" t="s">
        <v>2716</v>
      </c>
      <c r="I19" s="578"/>
    </row>
    <row r="20" customFormat="false" ht="15" hidden="false" customHeight="false" outlineLevel="0" collapsed="false">
      <c r="A20" s="567" t="s">
        <v>1714</v>
      </c>
      <c r="B20" s="566" t="s">
        <v>1715</v>
      </c>
      <c r="C20" s="568"/>
      <c r="D20" s="569"/>
      <c r="F20" s="576" t="s">
        <v>2717</v>
      </c>
      <c r="G20" s="577"/>
      <c r="H20" s="576" t="s">
        <v>2717</v>
      </c>
      <c r="I20" s="578"/>
    </row>
    <row r="21" customFormat="false" ht="15" hidden="false" customHeight="false" outlineLevel="0" collapsed="false">
      <c r="A21" s="567" t="s">
        <v>1720</v>
      </c>
      <c r="B21" s="566" t="s">
        <v>1721</v>
      </c>
      <c r="C21" s="568"/>
      <c r="D21" s="569"/>
      <c r="F21" s="576" t="s">
        <v>2624</v>
      </c>
      <c r="G21" s="577"/>
      <c r="H21" s="576" t="s">
        <v>2624</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2719</v>
      </c>
      <c r="G23" s="577"/>
      <c r="H23" s="576" t="s">
        <v>2719</v>
      </c>
      <c r="I23" s="578"/>
    </row>
    <row r="24" customFormat="false" ht="15" hidden="false" customHeight="false" outlineLevel="0" collapsed="false">
      <c r="A24" s="565" t="s">
        <v>2130</v>
      </c>
      <c r="B24" s="566" t="s">
        <v>2131</v>
      </c>
      <c r="C24" s="568"/>
      <c r="D24" s="569"/>
      <c r="F24" s="576" t="s">
        <v>2720</v>
      </c>
      <c r="G24" s="577"/>
      <c r="H24" s="576" t="s">
        <v>2720</v>
      </c>
      <c r="I24" s="578"/>
    </row>
    <row r="25" customFormat="false" ht="15" hidden="false" customHeight="false" outlineLevel="0" collapsed="false">
      <c r="A25" s="565" t="s">
        <v>2133</v>
      </c>
      <c r="B25" s="566" t="s">
        <v>2134</v>
      </c>
      <c r="C25" s="568"/>
      <c r="D25" s="569"/>
      <c r="F25" s="579" t="s">
        <v>2721</v>
      </c>
      <c r="G25" s="580"/>
      <c r="H25" s="579" t="s">
        <v>2721</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2722</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2723</v>
      </c>
    </row>
    <row r="35" customFormat="false" ht="15" hidden="false" customHeight="false" outlineLevel="0" collapsed="false">
      <c r="A35" s="565" t="s">
        <v>52</v>
      </c>
      <c r="B35" s="566" t="s">
        <v>53</v>
      </c>
      <c r="C35" s="568"/>
      <c r="D35" s="569"/>
      <c r="F35" s="583" t="s">
        <v>2724</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2725</v>
      </c>
      <c r="C37" s="568"/>
      <c r="D37" s="569"/>
      <c r="F37" s="585" t="s">
        <v>2726</v>
      </c>
    </row>
    <row r="38" customFormat="false" ht="15" hidden="false" customHeight="false" outlineLevel="0" collapsed="false">
      <c r="A38" s="565" t="s">
        <v>2145</v>
      </c>
      <c r="B38" s="566" t="s">
        <v>2146</v>
      </c>
      <c r="C38" s="568"/>
      <c r="D38" s="569"/>
      <c r="F38" s="585" t="s">
        <v>2727</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2728</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2729</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2730</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2731</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2732</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2733</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2734</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2014-04-08T16:55:23Z</dcterms:modified>
  <cp:revision>0</cp:revision>
  <dc:subject/>
  <dc:title>Feuille d'aide au calcul de l'IBMR</dc:title>
</cp:coreProperties>
</file>