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94000" sheetId="6" state="visible" r:id="rId8"/>
    <sheet name="jgjg" sheetId="7" state="hidden" r:id="rId9"/>
    <sheet name="liste codes réf" sheetId="8" state="hidden" r:id="rId10"/>
  </sheets>
  <definedNames>
    <definedName function="false" hidden="false" localSheetId="5" name="_xlnm.Print_Area" vbProcedure="false">'06194000'!$A$1:$Q$82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'06194000'!$A$1:$Q$82</definedName>
    <definedName function="false" hidden="false" localSheetId="5" name="_xlnm__FilterDatabase" vbProcedure="false">'06194000'!$A$1:$C$1415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<sst xmlns="http://schemas.openxmlformats.org/spreadsheetml/2006/main" count="8831" uniqueCount="3498">
  <si>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</si>
  <si>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</si>
  <si>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</si>
  <si>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</si>
  <si>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</si>
  <si>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</si>
  <si>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</si>
  <si>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</si>
  <si>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</si>
  <si>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</si>
  <si>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</si>
  <si>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</si>
  <si>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</si>
  <si>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</si>
  <si>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</si>
  <si>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</si>
  <si>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</si>
  <si>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</si>
  <si>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</si>
  <si>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</si>
  <si>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</si>
  <si>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</si>
  <si>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</si>
  <si>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</si>
  <si>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</si>
  <si>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</si>
  <si>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</si>
  <si>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</si>
  <si>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</si>
  <si>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</si>
  <si>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</si>
  <si>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</si>
  <si>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</si>
  <si>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</si>
  <si>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</si>
  <si>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</si>
  <si>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</si>
  <si>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</si>
  <si>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</si>
  <si>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</si>
  <si>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</si>
  <si>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</si>
  <si>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</si>
  <si>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</si>
  <si>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</si>
  <si>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</si>
  <si>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</si>
  <si>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</si>
  <si>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</si>
  <si>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</si>
  <si>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</si>
  <si>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</si>
  <si>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</si>
  <si>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</si>
  <si>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</si>
  <si>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</si>
  <si>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</si>
  <si>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</si>
  <si>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</si>
  <si>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</si>
  <si>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</si>
  <si>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</si>
  <si>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</si>
  <si>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</si>
  <si>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</si>
  <si>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</si>
  <si>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</si>
  <si>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</si>
  <si>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</si>
  <si>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</si>
  <si>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</si>
  <si>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</si>
  <si>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</si>
  <si>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</si>
  <si>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</si>
  <si>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</si>
  <si>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</si>
  <si>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</si>
  <si>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</si>
  <si>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</si>
  <si>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</si>
  <si>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</si>
  <si>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</si>
  <si>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</si>
  <si>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</si>
  <si>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</si>
  <si>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</si>
  <si>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</si>
  <si>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</si>
  <si>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</si>
  <si>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</si>
  <si>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</si>
  <si>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</si>
  <si>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</si>
  <si>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</si>
  <si>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</si>
  <si>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</si>
  <si>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</si>
  <si>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</si>
  <si>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</si>
  <si>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</si>
  <si>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</si>
  <si>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</si>
  <si>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</si>
  <si>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</si>
  <si>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</si>
  <si>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</si>
  <si>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</si>
  <si>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</si>
  <si>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</si>
  <si>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</si>
  <si>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</si>
  <si>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</si>
  <si>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</si>
  <si>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</si>
  <si>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</si>
  <si>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</si>
  <si>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</si>
  <si>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</si>
  <si>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</si>
  <si>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</si>
  <si>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</si>
  <si>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</si>
  <si>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</si>
  <si>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</si>
  <si>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</si>
  <si>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</si>
  <si>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</si>
  <si>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</si>
  <si>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</si>
  <si>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</si>
  <si>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</si>
  <si>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</si>
  <si>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</si>
  <si>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</si>
  <si>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</si>
  <si>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</si>
  <si>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</si>
  <si>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</si>
  <si>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</si>
  <si>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</si>
  <si>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</si>
  <si>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</si>
  <si>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</si>
  <si>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</si>
  <si>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</si>
  <si>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</si>
  <si>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</si>
  <si>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</si>
  <si>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</si>
  <si>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</si>
  <si>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</si>
  <si>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</si>
  <si>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</si>
  <si>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</si>
  <si>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</si>
  <si>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</si>
  <si>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</si>
  <si>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</si>
  <si>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</si>
  <si>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</si>
  <si>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</si>
  <si>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</si>
  <si>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</si>
  <si>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</si>
  <si>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</si>
  <si>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</si>
  <si>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</si>
  <si>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</si>
  <si>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</si>
  <si>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</si>
  <si>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</si>
  <si>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</si>
  <si>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</si>
  <si>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</si>
  <si>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</si>
  <si>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</si>
  <si>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</si>
  <si>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</si>
  <si>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</si>
  <si>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</si>
  <si>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</si>
  <si>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</si>
  <si>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</si>
  <si>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</si>
  <si>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</si>
  <si>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</si>
  <si>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</si>
  <si>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</si>
  <si>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</si>
  <si>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</si>
  <si>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</si>
  <si>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</si>
  <si>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</si>
  <si>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</si>
  <si>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</si>
  <si>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</si>
  <si>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</si>
  <si>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</si>
  <si>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</si>
  <si>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</si>
  <si>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</si>
  <si>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</si>
  <si>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</si>
  <si>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</si>
  <si>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</si>
  <si>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</si>
  <si>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</si>
  <si>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</si>
  <si>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</si>
  <si>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</si>
  <si>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</si>
  <si>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</si>
  <si>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</si>
  <si>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</si>
  <si>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</si>
  <si>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</si>
  <si>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</si>
  <si>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</si>
  <si>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</si>
  <si>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</si>
  <si>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</si>
  <si>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</si>
  <si>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</si>
  <si>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</si>
  <si>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</si>
  <si>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</si>
  <si>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</si>
  <si>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</si>
  <si>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</si>
  <si>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</si>
  <si>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</si>
  <si>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</si>
  <si>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</si>
  <si>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</si>
  <si>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</si>
  <si>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</si>
  <si>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</si>
  <si>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</si>
  <si>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</si>
  <si>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</si>
  <si>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</si>
  <si>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</si>
  <si>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</si>
  <si>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</si>
  <si>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</si>
  <si>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</si>
  <si>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</si>
  <si>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</si>
  <si>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</si>
  <si>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</si>
  <si>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</si>
  <si>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</si>
  <si>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</si>
  <si>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</si>
  <si>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</si>
  <si>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</si>
  <si>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</si>
  <si>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</si>
  <si>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</si>
  <si>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</si>
  <si>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</si>
  <si>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</si>
  <si>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</si>
  <si>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</si>
  <si>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</si>
  <si>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</si>
  <si>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</si>
  <si>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</si>
  <si>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</si>
  <si>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</si>
  <si>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</si>
  <si>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</si>
  <si>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</si>
  <si>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</si>
  <si>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</si>
  <si>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</si>
  <si>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</si>
  <si>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</si>
  <si>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</si>
  <si>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</si>
  <si>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</si>
  <si>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</si>
  <si>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</si>
  <si>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</si>
  <si>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</si>
  <si>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</si>
  <si>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</si>
  <si>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</si>
  <si>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</si>
  <si>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</si>
  <si>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</si>
  <si>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</si>
  <si>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</si>
  <si>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</si>
  <si>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</si>
  <si>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</si>
  <si>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</si>
  <si>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</si>
  <si>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</si>
  <si>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</si>
  <si>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</si>
  <si>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</si>
  <si>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</si>
  <si>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</si>
  <si>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</si>
  <si>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</si>
  <si>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</si>
  <si>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</si>
  <si>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</si>
  <si>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</si>
  <si>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</si>
  <si>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</si>
  <si>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</si>
  <si>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</si>
  <si>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</si>
  <si>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</si>
  <si>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</si>
  <si>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</si>
  <si>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</si>
  <si>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</si>
  <si>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</si>
  <si>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</si>
  <si>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</si>
  <si>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</si>
  <si>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</si>
  <si>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</si>
  <si>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</si>
  <si>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</si>
  <si>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</si>
  <si>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</si>
  <si>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</si>
  <si>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</si>
  <si>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</si>
  <si>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</si>
  <si>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</si>
  <si>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</si>
  <si>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</si>
  <si>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</si>
  <si>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</si>
  <si>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</si>
  <si>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</si>
  <si>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</si>
  <si>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</si>
  <si>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</si>
  <si>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</si>
  <si>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</si>
  <si>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</si>
  <si>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</si>
  <si>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</si>
  <si>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</si>
  <si>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</si>
  <si>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</si>
  <si>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</si>
  <si>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</si>
  <si>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</si>
  <si>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</si>
  <si>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</si>
  <si>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</si>
  <si>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</si>
  <si>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</si>
  <si>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</si>
  <si>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</si>
  <si>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</si>
  <si>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</si>
  <si>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</si>
  <si>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</si>
  <si>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</si>
  <si>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</si>
  <si>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</si>
  <si>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</si>
  <si>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</si>
  <si>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</si>
  <si>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</si>
  <si>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</si>
  <si>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</si>
  <si>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</si>
  <si>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</si>
  <si>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</si>
  <si>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</si>
  <si>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</si>
  <si>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</si>
  <si>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</si>
  <si>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</si>
  <si>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</si>
  <si>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</si>
  <si>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</si>
  <si>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</si>
  <si>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</si>
  <si>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</si>
  <si>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</si>
  <si>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</si>
  <si>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</si>
  <si>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</si>
  <si>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</si>
  <si>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</si>
  <si>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</si>
  <si>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</si>
  <si>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</si>
  <si>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</si>
  <si>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</si>
  <si>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</si>
  <si>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</si>
  <si>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</si>
  <si>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</si>
  <si>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</si>
  <si>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</si>
  <si>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</si>
  <si>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</si>
  <si>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</si>
  <si>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</si>
  <si>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</si>
  <si>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</si>
  <si>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</si>
  <si>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</si>
  <si>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</si>
  <si>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</si>
  <si>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</si>
  <si>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</si>
  <si>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</si>
  <si>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</si>
  <si>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</si>
  <si>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</si>
  <si>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</si>
  <si>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</si>
  <si>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</si>
  <si>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</si>
  <si>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</si>
  <si>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</si>
  <si>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</si>
  <si>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</si>
  <si>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</si>
  <si>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</si>
  <si>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</si>
  <si>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</si>
  <si>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</si>
  <si>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</si>
  <si>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</si>
  <si>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</si>
  <si>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</si>
  <si>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</si>
  <si>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</si>
  <si>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</si>
  <si>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</si>
  <si>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</si>
  <si>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</si>
  <si>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</si>
  <si>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</si>
  <si>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</si>
  <si>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</si>
  <si>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</si>
  <si>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</si>
  <si>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</si>
  <si>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</si>
  <si>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</si>
  <si>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</si>
  <si>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</si>
  <si>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</si>
  <si>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</si>
  <si>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</si>
  <si>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</si>
  <si>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</si>
  <si>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</si>
  <si>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</si>
  <si>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</si>
  <si>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</si>
  <si>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</si>
  <si>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</si>
  <si>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</si>
  <si>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</si>
  <si>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</si>
  <si>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</si>
  <si>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</si>
  <si>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</si>
  <si>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</si>
  <si>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</si>
  <si>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</si>
  <si>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</si>
  <si>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</si>
  <si>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</si>
  <si>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</si>
  <si>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</si>
  <si>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</si>
  <si>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</si>
  <si>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</si>
  <si>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</si>
  <si>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</si>
  <si>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</si>
  <si>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</si>
  <si>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</si>
  <si>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</si>
  <si>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</si>
  <si>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</si>
  <si>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</si>
  <si>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</si>
  <si>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</si>
  <si>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</si>
  <si>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</si>
  <si>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</si>
  <si>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</si>
  <si>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</si>
  <si>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</si>
  <si>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</si>
  <si>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</si>
  <si>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</si>
  <si>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</si>
  <si>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</si>
  <si>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</si>
  <si>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</si>
  <si>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</si>
  <si>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</si>
  <si>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</si>
  <si>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</si>
  <si>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</si>
  <si>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</si>
  <si>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</si>
  <si>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</si>
  <si>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</si>
  <si>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</si>
  <si>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</si>
  <si>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</si>
  <si>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</si>
  <si>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</si>
  <si>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</si>
  <si>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</si>
  <si>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</si>
  <si>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</si>
  <si>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</si>
  <si>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</si>
  <si>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</si>
  <si>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</si>
  <si>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</si>
  <si>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</si>
  <si>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</si>
  <si>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</si>
  <si>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</si>
  <si>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</si>
  <si>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</si>
  <si>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</si>
  <si>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</si>
  <si>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</si>
  <si>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</si>
  <si>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</si>
  <si>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</si>
  <si>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</si>
  <si>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</si>
  <si>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</si>
  <si>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</si>
  <si>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</si>
  <si>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</si>
  <si>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</si>
  <si>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</si>
  <si>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</si>
  <si>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</si>
  <si>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</si>
  <si>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</si>
  <si>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</si>
  <si>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</si>
  <si>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</si>
  <si>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</si>
  <si>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</si>
  <si>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</si>
  <si>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</si>
  <si>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</si>
  <si>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</si>
  <si>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</si>
  <si>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</si>
  <si>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</si>
  <si>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</si>
  <si>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</si>
  <si>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</si>
  <si>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</si>
  <si>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</si>
  <si>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</si>
  <si>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</si>
  <si>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</si>
  <si>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</si>
  <si>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</si>
  <si>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</si>
  <si>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</si>
  <si>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</si>
  <si>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</si>
  <si>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</si>
  <si>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</si>
  <si>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</si>
  <si>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</si>
  <si>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</si>
  <si>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</si>
  <si>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</si>
  <si>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</si>
  <si>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</si>
  <si>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</si>
  <si>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</si>
  <si>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</si>
  <si>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</si>
  <si>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</si>
  <si>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</si>
  <si>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</si>
  <si>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</si>
  <si>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</si>
  <si>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</si>
  <si>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</si>
  <si>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</si>
  <si>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</si>
  <si>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</si>
  <si>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</si>
  <si>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</si>
  <si>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</si>
  <si>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</si>
  <si>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</si>
  <si>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</si>
  <si>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</si>
  <si>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</si>
  <si>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</si>
  <si>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</si>
  <si>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</si>
  <si>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</si>
  <si>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</si>
  <si>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</si>
  <si>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</si>
  <si>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</si>
  <si>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</si>
  <si>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</si>
  <si>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</si>
  <si>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</si>
  <si>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</si>
  <si>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</si>
  <si>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</si>
  <si>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</si>
  <si>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</si>
  <si>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</si>
  <si>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</si>
  <si>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</si>
  <si>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</si>
  <si>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</si>
  <si>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</si>
  <si>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</si>
  <si>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</si>
  <si>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</si>
  <si>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</si>
  <si>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</si>
  <si>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</si>
  <si>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</si>
  <si>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</si>
  <si>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</si>
  <si>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</si>
  <si>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</si>
  <si>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</si>
  <si>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</si>
  <si>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</si>
  <si>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</si>
  <si>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</si>
  <si>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</si>
  <si>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</si>
  <si>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</si>
  <si>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</si>
  <si>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</si>
  <si>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</si>
  <si>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</si>
  <si>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</si>
  <si>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</si>
  <si>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</si>
  <si>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</si>
  <si>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</si>
  <si>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</si>
  <si>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</si>
  <si>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</si>
  <si>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</si>
  <si>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</si>
  <si>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</si>
  <si>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</si>
  <si>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</si>
  <si>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</si>
  <si>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</si>
  <si>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</si>
  <si>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</si>
  <si>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</si>
  <si>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</si>
  <si>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</si>
  <si>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</si>
  <si>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</si>
  <si>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</si>
  <si>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</si>
  <si>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</si>
  <si>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</si>
  <si>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</si>
  <si>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</si>
  <si>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</si>
  <si>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</si>
  <si>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</si>
  <si>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</si>
  <si>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</si>
  <si>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</si>
  <si>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</si>
  <si>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</si>
  <si>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</si>
  <si>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</si>
  <si>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</si>
  <si>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</si>
  <si>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</si>
  <si>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</si>
  <si>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</si>
  <si>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</si>
  <si>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</si>
  <si>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</si>
  <si>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</si>
  <si>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</si>
  <si>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</si>
  <si>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</si>
  <si>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</si>
  <si>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</si>
  <si>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</si>
  <si>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</si>
  <si>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</si>
  <si>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</si>
  <si>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</si>
  <si>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</si>
  <si>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</si>
  <si>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</si>
  <si>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</si>
  <si>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</si>
  <si>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</si>
  <si>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</si>
  <si>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</si>
  <si>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</si>
  <si>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</si>
  <si>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</si>
  <si>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</si>
  <si>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</si>
  <si>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</si>
  <si>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</si>
  <si>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</si>
  <si>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</si>
  <si>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</si>
  <si>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</si>
  <si>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</si>
  <si>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</si>
  <si>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</si>
  <si>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</si>
  <si>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</si>
  <si>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</si>
  <si>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</si>
  <si>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</si>
  <si>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</si>
  <si>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</si>
  <si>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</si>
  <si>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</si>
  <si>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</si>
  <si>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</si>
  <si>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</si>
  <si>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</si>
  <si>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</si>
  <si>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</si>
  <si>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</si>
  <si>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</si>
  <si>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</si>
  <si>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</si>
  <si>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</si>
  <si>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</si>
  <si>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</si>
  <si>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</si>
  <si>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</si>
  <si>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</si>
  <si>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</si>
  <si>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</si>
  <si>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</si>
  <si>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</si>
  <si>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</si>
  <si>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</si>
  <si>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</si>
  <si>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</si>
  <si>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</si>
  <si>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</si>
  <si>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</si>
  <si>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</si>
  <si>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</si>
  <si>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</si>
  <si>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</si>
  <si>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</si>
  <si>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</si>
  <si>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</si>
  <si>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</si>
  <si>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</si>
  <si>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</si>
  <si>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</si>
  <si>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</si>
  <si>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</si>
  <si>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</si>
  <si>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</si>
  <si>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</si>
  <si>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</si>
  <si>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</si>
  <si>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</si>
  <si>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</si>
  <si>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</si>
  <si>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</si>
  <si>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</si>
  <si>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</si>
  <si>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</si>
  <si>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</si>
  <si>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</si>
  <si>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</si>
  <si>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</si>
  <si>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</si>
  <si>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</si>
  <si>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</si>
  <si>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</si>
  <si>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</si>
  <si>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</si>
  <si>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</si>
  <si>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</si>
  <si>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</si>
  <si>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</si>
  <si>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</si>
  <si>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</si>
  <si>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</si>
  <si>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</si>
  <si>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</si>
  <si>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</si>
  <si>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</si>
  <si>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</si>
  <si>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</si>
  <si>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</si>
  <si>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</si>
  <si>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</si>
  <si>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</si>
  <si>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</si>
  <si>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</si>
  <si>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</si>
  <si>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</si>
  <si>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</si>
  <si>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</si>
  <si>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</si>
  <si>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</si>
  <si>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</si>
  <si>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</si>
  <si>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</si>
  <si>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</si>
  <si>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</si>
  <si>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</si>
  <si>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</si>
  <si>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</si>
  <si>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</si>
  <si>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</si>
  <si>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</si>
  <si>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</si>
  <si>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</si>
  <si>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</si>
  <si>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</si>
  <si>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</si>
  <si>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</si>
  <si>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</si>
  <si>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</si>
  <si>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</si>
  <si>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</si>
  <si>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</si>
  <si>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</si>
  <si>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</si>
  <si>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</si>
  <si>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</si>
  <si>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</si>
  <si>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</si>
  <si>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</si>
  <si>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</si>
  <si>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</si>
  <si>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</si>
  <si>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</si>
  <si>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</si>
  <si>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</si>
  <si>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</si>
  <si>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</si>
  <si>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</si>
  <si>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</si>
  <si>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</si>
  <si>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</si>
  <si>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</si>
  <si>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</si>
  <si>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</si>
  <si>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</si>
  <si>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</si>
  <si>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</si>
  <si>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</si>
  <si>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</si>
  <si>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</si>
  <si>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</si>
  <si>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</si>
  <si>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</si>
  <si>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</si>
  <si>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</si>
  <si>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</si>
  <si>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</si>
  <si>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</si>
  <si>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</si>
  <si>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</si>
  <si>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</si>
  <si>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</si>
  <si>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</si>
  <si>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</si>
  <si>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</si>
  <si>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</si>
  <si>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</si>
  <si>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</si>
  <si>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</si>
  <si>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</si>
  <si>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</si>
  <si>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</si>
  <si>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</si>
  <si>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</si>
  <si>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</si>
  <si>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</si>
  <si>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</si>
  <si>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</si>
  <si>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</si>
  <si>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</si>
  <si>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</si>
  <si>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</si>
  <si>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</si>
  <si>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</si>
  <si>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</si>
  <si>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</si>
  <si>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</si>
  <si>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</si>
  <si>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</si>
  <si>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</si>
  <si>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</si>
  <si>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</si>
  <si>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</si>
  <si>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</si>
  <si>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</si>
  <si>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</si>
  <si>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</si>
  <si>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</si>
  <si>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</si>
  <si>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</si>
  <si>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</si>
  <si>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</si>
  <si>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</si>
  <si>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</si>
  <si>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</si>
  <si>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</si>
  <si>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</si>
  <si>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</si>
  <si>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</si>
  <si>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</si>
  <si>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</si>
  <si>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</si>
  <si>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</si>
  <si>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</si>
  <si>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</si>
  <si>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</si>
  <si>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</si>
  <si>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</si>
  <si>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</si>
  <si>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</si>
  <si>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</si>
  <si>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</si>
  <si>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</si>
  <si>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</si>
  <si>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</si>
  <si>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</si>
  <si>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</si>
  <si>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</si>
  <si>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</si>
  <si>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</si>
  <si>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</si>
  <si>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</si>
  <si>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</si>
  <si>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</si>
  <si>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</si>
  <si>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</si>
  <si>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</si>
  <si>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</si>
  <si>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</si>
  <si>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</si>
  <si>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</si>
  <si>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</si>
  <si>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</si>
  <si>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</si>
  <si>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</si>
  <si>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</si>
  <si>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</si>
  <si>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</si>
  <si>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</si>
  <si>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</si>
  <si>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</si>
  <si>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</si>
  <si>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</si>
  <si>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</si>
  <si>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</si>
  <si>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</si>
  <si>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</si>
  <si>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</si>
  <si>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</si>
  <si>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</si>
  <si>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</si>
  <si>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</si>
  <si>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</si>
  <si>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</si>
  <si>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</si>
  <si>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</si>
  <si>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</si>
  <si>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</si>
  <si>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</si>
  <si>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</si>
  <si>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</si>
  <si>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</si>
  <si>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</si>
  <si>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</si>
  <si>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</si>
  <si>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</si>
  <si>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</si>
  <si>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</si>
  <si>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</si>
  <si>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</si>
  <si>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</si>
  <si>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</si>
  <si>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</si>
  <si>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</si>
  <si>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</si>
  <si>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</si>
  <si>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</si>
  <si>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</si>
  <si>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</si>
  <si>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</si>
  <si>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</si>
  <si>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</si>
  <si>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</si>
  <si>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</si>
  <si>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</si>
  <si>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</si>
  <si>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</si>
  <si>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</si>
  <si>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</si>
  <si>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</si>
  <si>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</si>
  <si>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</si>
  <si>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</si>
  <si>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</si>
  <si>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</si>
  <si>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</si>
  <si>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</si>
  <si>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</si>
  <si>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</si>
  <si>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</si>
  <si>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</si>
  <si>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</si>
  <si>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</si>
  <si>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</si>
  <si>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</si>
  <si>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</si>
  <si>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</si>
  <si>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</si>
  <si>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</si>
  <si>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</si>
  <si>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</si>
  <si>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</si>
  <si>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</si>
  <si>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</si>
  <si>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</si>
  <si>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</si>
  <si>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</si>
  <si>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</si>
  <si>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</si>
  <si>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</si>
  <si>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</si>
  <si>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</si>
  <si>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</si>
  <si>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</si>
  <si>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</si>
  <si>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</si>
  <si>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</si>
  <si>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</si>
  <si>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</si>
  <si>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</si>
  <si>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</si>
  <si>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</si>
  <si>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</si>
  <si>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</si>
  <si>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</si>
  <si>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</si>
  <si>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</si>
  <si>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</si>
  <si>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</si>
  <si>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</si>
  <si>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</si>
  <si>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</si>
  <si>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</si>
  <si>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</si>
  <si>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</si>
  <si>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</si>
  <si>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</si>
  <si>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</si>
  <si>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</si>
  <si>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</si>
  <si>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</si>
  <si>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</si>
  <si>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</si>
  <si>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</si>
  <si>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</si>
  <si>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</si>
  <si>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</si>
  <si>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</si>
  <si>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</si>
  <si>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</si>
  <si>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</si>
  <si>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</si>
  <si>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</si>
  <si>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</si>
  <si>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</si>
  <si>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</si>
  <si>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</si>
  <si>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</si>
  <si>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</si>
  <si>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</si>
  <si>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</si>
  <si>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</si>
  <si>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</si>
  <si>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</si>
  <si>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</si>
  <si>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</si>
  <si>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</si>
  <si>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</si>
  <si>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</si>
  <si>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</si>
  <si>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</si>
  <si>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</si>
  <si>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</si>
  <si>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</si>
  <si>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</si>
  <si>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</si>
  <si>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</si>
  <si>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</si>
  <si>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</si>
  <si>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</si>
  <si>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</si>
  <si>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</si>
  <si>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</si>
  <si>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</si>
  <si>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</si>
  <si>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</si>
  <si>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</si>
  <si>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</si>
  <si>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</si>
  <si>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</si>
  <si>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</si>
  <si>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</si>
  <si>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</si>
  <si>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</si>
  <si>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</si>
  <si>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</si>
  <si>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</si>
  <si>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</si>
  <si>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</si>
  <si>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</si>
  <si>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</si>
  <si>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</si>
  <si>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</si>
  <si>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</si>
  <si>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</si>
  <si>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</si>
  <si>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</si>
  <si>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</si>
  <si>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</si>
  <si>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</si>
  <si>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</si>
  <si>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</si>
  <si>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</si>
  <si>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</si>
  <si>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</si>
  <si>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</si>
  <si>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</si>
  <si>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</si>
  <si>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</si>
  <si>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</si>
  <si>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</si>
  <si>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</si>
  <si>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</si>
  <si>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</si>
  <si>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</si>
  <si>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</si>
  <si>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</si>
  <si>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</si>
  <si>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</si>
  <si>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</si>
  <si>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</si>
  <si>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</si>
  <si>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</si>
  <si>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</si>
  <si>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</si>
  <si>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</si>
  <si>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</si>
  <si>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</si>
  <si>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</si>
  <si>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</si>
  <si>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</si>
  <si>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</si>
  <si>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</si>
  <si>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</si>
  <si>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</si>
  <si>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</si>
  <si>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</si>
  <si>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</si>
  <si>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</si>
  <si>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</si>
  <si>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</si>
  <si>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</si>
  <si>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</si>
  <si>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</si>
  <si>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</si>
  <si>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</si>
  <si>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</si>
  <si>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</si>
  <si>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</si>
  <si>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</si>
  <si>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</si>
  <si>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</si>
  <si>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</si>
  <si>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</si>
  <si>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</si>
  <si>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</si>
  <si>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</si>
  <si>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</si>
  <si>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</si>
  <si>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</si>
  <si>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</si>
  <si>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</si>
  <si>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</si>
  <si>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</si>
  <si>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</si>
  <si>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</si>
  <si>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</si>
  <si>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</si>
  <si>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</si>
  <si>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</si>
  <si>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</si>
  <si>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</si>
  <si>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</si>
  <si>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</si>
  <si>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</si>
  <si>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</si>
  <si>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</si>
  <si>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</si>
  <si>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</si>
  <si>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</si>
  <si>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</si>
  <si>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</si>
  <si>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</si>
  <si>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</si>
  <si>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</si>
  <si>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</si>
  <si>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</si>
  <si>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</si>
  <si>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</si>
  <si>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</si>
  <si>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</si>
  <si>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</si>
  <si>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</si>
  <si>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</si>
  <si>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</si>
  <si>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</si>
  <si>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</si>
  <si>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</si>
  <si>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</si>
  <si>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</si>
  <si>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</si>
  <si>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</si>
  <si>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</si>
  <si>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</si>
  <si>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</si>
  <si>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</si>
  <si>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</si>
  <si>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</si>
  <si>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</si>
  <si>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</si>
  <si>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</si>
  <si>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</si>
  <si>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</si>
  <si>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</si>
  <si>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</si>
  <si>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</si>
  <si>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</si>
  <si>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</si>
  <si>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</si>
  <si>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</si>
  <si>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</si>
  <si>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</si>
  <si>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</si>
  <si>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</si>
  <si>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</si>
  <si>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</si>
  <si>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</si>
  <si>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</si>
  <si>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</si>
  <si>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</si>
  <si>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</si>
  <si>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</si>
  <si>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</si>
  <si>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</si>
  <si>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</si>
  <si>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</si>
  <si>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</si>
  <si>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</si>
  <si>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</si>
  <si>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</si>
  <si>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</si>
  <si>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</si>
  <si>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</si>
  <si>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</si>
  <si>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</si>
  <si>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</si>
  <si>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</si>
  <si>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</si>
  <si>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</si>
  <si>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</si>
  <si>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</si>
  <si>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</si>
  <si>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</si>
  <si>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</si>
  <si>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</si>
  <si>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</si>
  <si>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</si>
  <si>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</si>
  <si>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</si>
  <si>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</si>
  <si>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</si>
  <si>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</si>
  <si>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</si>
  <si>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</si>
  <si>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</si>
  <si>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</si>
  <si>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</si>
  <si>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</si>
  <si>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</si>
  <si>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</si>
  <si>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</si>
  <si>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</si>
  <si>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</si>
  <si>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</si>
  <si>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</si>
  <si>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</si>
  <si>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</si>
  <si>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</si>
  <si>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</si>
  <si>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</si>
  <si>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</si>
  <si>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</si>
  <si>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</si>
  <si>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</si>
  <si>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</si>
  <si>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</si>
  <si>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</si>
  <si>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</si>
  <si>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</si>
  <si>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</si>
  <si>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</si>
  <si>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</si>
  <si>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</si>
  <si>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</si>
  <si>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</si>
  <si>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</si>
  <si>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</si>
  <si>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</si>
  <si>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</si>
  <si>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</si>
  <si>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</si>
  <si>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</si>
  <si>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</si>
  <si>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</si>
  <si>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</si>
  <si>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</si>
  <si>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</si>
  <si>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</si>
  <si>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</si>
  <si>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</si>
  <si>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</si>
  <si>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</si>
  <si>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</si>
  <si>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</si>
  <si>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</si>
  <si>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</si>
  <si>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</si>
  <si>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</si>
  <si>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</si>
  <si>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</si>
  <si>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</si>
  <si>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</si>
  <si>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</si>
  <si>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</si>
  <si>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</si>
  <si>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</si>
  <si>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</si>
  <si>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</si>
  <si>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</si>
  <si>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</si>
  <si>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</si>
  <si>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</si>
  <si>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</si>
  <si>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</si>
  <si>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</si>
  <si>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</si>
  <si>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</si>
  <si>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</si>
  <si>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</si>
  <si>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</si>
  <si>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</si>
  <si>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</si>
  <si>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</si>
  <si>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</si>
  <si>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</si>
  <si>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</si>
  <si>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</si>
  <si>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</si>
  <si>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</si>
  <si>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</si>
  <si>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</si>
  <si>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</si>
  <si>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</si>
  <si>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</si>
  <si>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</si>
  <si>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</si>
  <si>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</si>
  <si>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</si>
  <si>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</si>
  <si>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</si>
  <si>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</si>
  <si>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</si>
  <si>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</si>
  <si>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</si>
  <si>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</si>
  <si>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</si>
  <si>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</si>
  <si>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</si>
  <si>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</si>
  <si>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</si>
  <si>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</si>
  <si>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</si>
  <si>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</si>
  <si>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</si>
  <si>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</si>
  <si>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</si>
  <si>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</si>
  <si>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</si>
  <si>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</si>
  <si>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</si>
  <si>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</si>
  <si>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</si>
  <si>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</si>
  <si>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</si>
  <si>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</si>
  <si>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</si>
  <si>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</si>
  <si>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</si>
  <si>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</si>
  <si>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</si>
  <si>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</si>
  <si>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</si>
  <si>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</si>
  <si>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</si>
  <si>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</si>
  <si>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</si>
  <si>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</si>
  <si>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</si>
  <si>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</si>
  <si>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</si>
  <si>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</si>
  <si>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</si>
  <si>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</si>
  <si>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</si>
  <si>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</si>
  <si>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</si>
  <si>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</si>
  <si>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</si>
  <si>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</si>
  <si>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</si>
  <si>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</si>
  <si>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</si>
  <si>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</si>
  <si>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</si>
  <si>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</si>
  <si>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</si>
  <si>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</si>
  <si>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</si>
  <si>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</si>
  <si>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</si>
  <si>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</si>
  <si>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</si>
  <si>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</si>
  <si>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</si>
  <si>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</si>
  <si>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</si>
  <si>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</si>
  <si>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</si>
  <si>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</si>
  <si>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</si>
  <si>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</si>
  <si>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</si>
  <si>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</si>
  <si>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</si>
  <si>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</si>
  <si>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</si>
  <si>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</si>
  <si>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</si>
  <si>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</si>
  <si>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</si>
  <si>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</si>
  <si>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</si>
  <si>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</si>
  <si>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</si>
  <si>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</si>
  <si>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</si>
  <si>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</si>
  <si>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</si>
  <si>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</si>
  <si>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</si>
  <si>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</si>
  <si>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</si>
  <si>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</si>
  <si>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</si>
  <si>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</si>
  <si>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</si>
  <si>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</si>
  <si>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</si>
  <si>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</si>
  <si>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</si>
  <si>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</si>
  <si>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</si>
  <si>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</si>
  <si>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</si>
  <si>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</si>
  <si>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</si>
  <si>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</si>
  <si>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</si>
  <si>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</si>
  <si>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</si>
  <si>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</si>
  <si>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</si>
  <si>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</si>
  <si>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</si>
  <si>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</si>
  <si>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</si>
  <si>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</si>
  <si>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</si>
  <si>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</si>
  <si>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</si>
  <si>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</si>
  <si>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</si>
  <si>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</si>
  <si>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</si>
  <si>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</si>
  <si>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</si>
  <si>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</si>
  <si>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</si>
  <si>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</si>
  <si>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</si>
  <si>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</si>
  <si>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</si>
  <si>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</si>
  <si>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</si>
  <si>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</si>
  <si>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</si>
  <si>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</si>
  <si>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</si>
  <si>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</si>
  <si>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</si>
  <si>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</si>
  <si>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</si>
  <si>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</si>
  <si>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</si>
  <si>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</si>
  <si>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</si>
  <si>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</si>
  <si>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</si>
  <si>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</si>
  <si>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</si>
  <si>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</si>
  <si>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</si>
  <si>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</si>
  <si>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</si>
  <si>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</si>
  <si>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</si>
  <si>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</si>
  <si>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</si>
  <si>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</si>
  <si>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</si>
  <si>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</si>
  <si>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</si>
  <si>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</si>
  <si>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</si>
  <si>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</si>
  <si>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</si>
  <si>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</si>
  <si>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</si>
  <si>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</si>
  <si>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</si>
  <si>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</si>
  <si>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</si>
  <si>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</si>
  <si>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</si>
  <si>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</si>
  <si>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</si>
  <si>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</si>
  <si>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</si>
  <si>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</si>
  <si>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</si>
  <si>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</si>
  <si>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</si>
  <si>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</si>
  <si>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</si>
  <si>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</si>
  <si>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</si>
  <si>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</si>
  <si>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</si>
  <si>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</si>
  <si>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</si>
  <si>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</si>
  <si>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</si>
  <si>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</si>
  <si>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</si>
  <si>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</si>
  <si>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</si>
  <si>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</si>
  <si>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</si>
  <si>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</si>
  <si>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</si>
  <si>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</si>
  <si>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</si>
  <si>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</si>
  <si>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</si>
  <si>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</si>
  <si>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</si>
  <si>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</si>
  <si>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</si>
  <si>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</si>
  <si>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</si>
  <si>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</si>
  <si>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</si>
  <si>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</si>
  <si>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</si>
  <si>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</si>
  <si>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</si>
  <si>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</si>
  <si>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</si>
  <si>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</si>
  <si>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</si>
  <si>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</si>
  <si>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</si>
  <si>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</si>
  <si>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</si>
  <si>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</si>
  <si>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</si>
  <si>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</si>
  <si>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</si>
  <si>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</si>
  <si>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</si>
  <si>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</si>
  <si>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</si>
  <si>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</si>
  <si>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</si>
  <si>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</si>
  <si>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</si>
  <si>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</si>
  <si>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</si>
  <si>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</si>
  <si>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</si>
  <si>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</si>
  <si>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</si>
  <si>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</si>
  <si>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</si>
  <si>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</si>
  <si>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</si>
  <si>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</si>
  <si>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</si>
  <si>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</si>
  <si>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</si>
  <si>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</si>
  <si>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</si>
  <si>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</si>
  <si>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</si>
  <si>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</si>
  <si>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</si>
  <si>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</si>
  <si>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</si>
  <si>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</si>
  <si>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</si>
  <si>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</si>
  <si>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</si>
  <si>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</si>
  <si>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</si>
  <si>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</si>
  <si>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</si>
  <si>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</si>
  <si>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</si>
  <si>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</si>
  <si>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</si>
  <si>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</si>
  <si>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</si>
  <si>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</si>
  <si>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</si>
  <si>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</si>
  <si>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</si>
  <si>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</si>
  <si>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</si>
  <si>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</si>
  <si>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</si>
  <si>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</si>
  <si>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</si>
  <si>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</si>
  <si>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</si>
  <si>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</si>
  <si>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</si>
  <si>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</si>
  <si>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</si>
  <si>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</si>
  <si>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</si>
  <si>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</si>
  <si>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</si>
  <si>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</si>
  <si>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</si>
  <si>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</si>
  <si>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</si>
  <si>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</si>
  <si>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</si>
  <si>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</si>
  <si>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</si>
  <si>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</si>
  <si>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</si>
  <si>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</si>
  <si>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</si>
  <si>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</si>
  <si>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</si>
  <si>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</si>
  <si>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</si>
  <si>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</si>
  <si>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</si>
  <si>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</si>
  <si>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</si>
  <si>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</si>
  <si>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</si>
  <si>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</si>
  <si>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</si>
  <si>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</si>
  <si>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</si>
  <si>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</si>
  <si>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</si>
  <si>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</si>
  <si>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</si>
  <si>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</si>
  <si>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</si>
  <si>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</si>
  <si>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</si>
  <si>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</si>
  <si>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</si>
  <si>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</si>
  <si>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</si>
  <si>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</si>
  <si>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</si>
  <si>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</si>
  <si>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</si>
  <si>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</si>
  <si>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</si>
  <si>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</si>
  <si>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</si>
  <si>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</si>
  <si>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</si>
  <si>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</si>
  <si>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</si>
  <si>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</si>
  <si>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</si>
  <si>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</si>
  <si>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</si>
  <si>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</si>
  <si>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</si>
  <si>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</si>
  <si>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</si>
  <si>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</si>
  <si>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</si>
  <si>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</si>
  <si>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</si>
  <si>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</si>
  <si>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</si>
  <si>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</si>
  <si>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</si>
  <si>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</si>
  <si>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</si>
  <si>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</si>
  <si>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</si>
  <si>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</si>
  <si>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</si>
  <si>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</si>
  <si>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</si>
  <si>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</si>
  <si>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</si>
  <si>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</si>
  <si>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</si>
  <si>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</si>
  <si>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</si>
  <si>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</si>
  <si>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</si>
  <si>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</si>
  <si>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</si>
  <si>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</si>
  <si>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</si>
  <si>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</si>
  <si>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</si>
  <si>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</si>
  <si>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</si>
  <si>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</si>
  <si>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</si>
  <si>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</si>
  <si>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</si>
  <si>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</si>
  <si>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</si>
  <si>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</si>
  <si>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</si>
  <si>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</si>
  <si>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</si>
  <si>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</si>
  <si>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</si>
  <si>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</si>
  <si>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</si>
  <si>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</si>
  <si>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</si>
  <si>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</si>
  <si>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</si>
  <si>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</si>
  <si>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</si>
  <si>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</si>
  <si>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</si>
  <si>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</si>
  <si>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</si>
  <si>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</si>
  <si>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</si>
  <si>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</si>
  <si>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</si>
  <si>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</si>
  <si>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</si>
  <si>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</si>
  <si>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</si>
  <si>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</si>
  <si>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</si>
  <si>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</si>
  <si>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</si>
  <si>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</si>
  <si>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</si>
  <si>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</si>
  <si>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</si>
  <si>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</si>
  <si>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</si>
  <si>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</si>
  <si>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</si>
  <si>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</si>
  <si>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</si>
  <si>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</si>
  <si>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</si>
  <si>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</si>
  <si>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</si>
  <si>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</si>
  <si>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</si>
  <si>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</si>
  <si>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</si>
  <si>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</si>
  <si>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</si>
  <si>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</si>
  <si>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</si>
  <si>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</si>
  <si>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</si>
  <si>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</si>
  <si>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</si>
  <si>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</si>
  <si>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</si>
  <si>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</si>
  <si>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</si>
  <si>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</si>
  <si>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</si>
  <si>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</si>
  <si>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</si>
  <si>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</si>
  <si>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</si>
  <si>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</si>
  <si>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</si>
  <si>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</si>
  <si>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</si>
  <si>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</si>
  <si>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</si>
  <si>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</si>
  <si>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</si>
  <si>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</si>
  <si>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</si>
  <si>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</si>
  <si>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</si>
  <si>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</si>
  <si>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</si>
  <si>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</si>
  <si>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</si>
  <si>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</si>
  <si>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</si>
  <si>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</si>
  <si>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</si>
  <si>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</si>
  <si>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</si>
  <si>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</si>
  <si>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</si>
  <si>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</si>
  <si>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</si>
  <si>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</si>
  <si>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</si>
  <si>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</si>
  <si>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</si>
  <si>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</si>
  <si>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</si>
  <si>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</si>
  <si>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</si>
  <si>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</si>
  <si>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</si>
  <si>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</si>
  <si>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</si>
  <si>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</si>
  <si>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</si>
  <si>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</si>
  <si>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</si>
  <si>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</si>
  <si>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</si>
  <si>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</si>
  <si>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</si>
  <si>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</si>
  <si>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</si>
  <si>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</si>
  <si>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</si>
  <si>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</si>
  <si>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</si>
  <si>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</si>
  <si>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</si>
  <si>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</si>
  <si>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</si>
  <si>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</si>
  <si>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</si>
  <si>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</si>
  <si>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</si>
  <si>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</si>
  <si>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</si>
  <si>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</si>
  <si>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</si>
  <si>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</si>
  <si>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</si>
  <si>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</si>
  <si>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</si>
  <si>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</si>
  <si>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</si>
  <si>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</si>
  <si>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</si>
  <si>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</si>
  <si>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</si>
  <si>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</si>
  <si>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</si>
  <si>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</si>
  <si>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</si>
  <si>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</si>
  <si>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</si>
  <si>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</si>
  <si>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</si>
  <si>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</si>
  <si>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</si>
  <si>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</si>
  <si>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</si>
  <si>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</si>
  <si>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</si>
  <si>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</si>
  <si>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</si>
  <si>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</si>
  <si>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</si>
  <si>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</si>
  <si>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</si>
  <si>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</si>
  <si>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</si>
  <si>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</si>
  <si>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</si>
  <si>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</si>
  <si>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</si>
  <si>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</si>
  <si>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</si>
  <si>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</si>
  <si>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</si>
  <si>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</si>
  <si>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</si>
  <si>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</si>
  <si>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</si>
  <si>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</si>
  <si>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</si>
  <si>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</si>
  <si>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</si>
  <si>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</si>
  <si>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</si>
  <si>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</si>
  <si>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</si>
  <si>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</si>
  <si>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</si>
  <si>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</si>
  <si>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</si>
  <si>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</si>
  <si>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</si>
  <si>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</si>
  <si>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</si>
  <si>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</si>
  <si>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</si>
  <si>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</si>
  <si>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</si>
  <si>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</si>
  <si>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</si>
  <si>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</si>
  <si>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</si>
  <si>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</si>
  <si>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</si>
  <si>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</si>
  <si>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</si>
  <si>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</si>
  <si>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</si>
  <si>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</si>
  <si>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</si>
  <si>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</si>
  <si>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</si>
  <si>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</si>
  <si>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</si>
  <si>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</si>
  <si>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</si>
  <si>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</si>
  <si>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</si>
  <si>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</si>
  <si>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</si>
  <si>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</si>
  <si>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</si>
  <si>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</si>
  <si>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</si>
  <si>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</si>
  <si>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</si>
  <si>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</si>
  <si>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</si>
  <si>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</si>
  <si>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</si>
  <si>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</si>
  <si>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</si>
  <si>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</si>
  <si>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</si>
  <si>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</si>
  <si>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</si>
  <si>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</si>
  <si>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</si>
  <si>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</si>
  <si>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</si>
  <si>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</si>
  <si>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</si>
  <si>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</si>
  <si>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</si>
  <si>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</si>
  <si>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</si>
  <si>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</si>
  <si>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</si>
  <si>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</si>
  <si>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</si>
  <si>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</si>
  <si>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</si>
  <si>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</si>
  <si>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</si>
  <si>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</si>
  <si>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</si>
  <si>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</si>
  <si>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</si>
  <si>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</si>
  <si>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</si>
  <si>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</si>
  <si>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</si>
  <si>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</si>
  <si>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</si>
  <si>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</si>
  <si>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</si>
  <si>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</si>
  <si>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</si>
  <si>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</si>
  <si>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</si>
  <si>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</si>
  <si>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</si>
  <si>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</si>
  <si>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</si>
  <si>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</si>
  <si>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</si>
  <si>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</si>
  <si>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</si>
  <si>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</si>
  <si>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</si>
  <si>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</si>
  <si>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</si>
  <si>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</si>
  <si>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</si>
  <si>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</si>
  <si>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</si>
  <si>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</si>
  <si>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</si>
  <si>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</si>
  <si>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</si>
  <si>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</si>
  <si>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</si>
  <si>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</si>
  <si>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</si>
  <si>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</si>
  <si>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</si>
  <si>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</si>
  <si>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</si>
  <si>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</si>
  <si>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</si>
  <si>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</si>
  <si>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</si>
  <si>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</si>
  <si>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</si>
  <si>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</si>
  <si>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</si>
  <si>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</si>
  <si>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</si>
  <si>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</si>
  <si>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</si>
  <si>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</si>
  <si>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</si>
  <si>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</si>
  <si>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</si>
  <si>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</si>
  <si>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</si>
  <si>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</si>
  <si>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</si>
  <si>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</si>
  <si>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</si>
  <si>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</si>
  <si>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</si>
  <si>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</si>
  <si>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</si>
  <si>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</si>
  <si>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</si>
  <si>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</si>
  <si>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</si>
  <si>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</si>
  <si>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</si>
  <si>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</si>
  <si>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</si>
  <si>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</si>
  <si>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</si>
  <si>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</si>
  <si>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</si>
  <si>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</si>
  <si>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</si>
  <si>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</si>
  <si>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</si>
  <si>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</si>
  <si>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</si>
  <si>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</si>
  <si>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</si>
  <si>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</si>
  <si>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</si>
  <si>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</si>
  <si>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</si>
  <si>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</si>
  <si>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</si>
  <si>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</si>
  <si>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</si>
  <si>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</si>
  <si>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</si>
  <si>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</si>
  <si>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</si>
  <si>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</si>
  <si>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</si>
  <si>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</si>
  <si>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</si>
  <si>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</si>
  <si>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</si>
  <si>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</si>
  <si>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</si>
  <si>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</si>
  <si>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</si>
  <si>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</si>
  <si>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</si>
  <si>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</si>
  <si>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</si>
  <si>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</si>
  <si>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</si>
  <si>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</si>
  <si>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</si>
  <si>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</si>
  <si>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</si>
  <si>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</si>
  <si>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</si>
  <si>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</si>
  <si>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</si>
  <si>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</si>
  <si>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</si>
  <si>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</si>
  <si>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</si>
  <si>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</si>
  <si>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</si>
  <si>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</si>
  <si>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</si>
  <si>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</si>
  <si>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</si>
  <si>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</si>
  <si>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</si>
  <si>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</si>
  <si>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</si>
  <si>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</si>
  <si>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</si>
  <si>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</si>
  <si>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</si>
  <si>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</si>
  <si>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</si>
  <si>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</si>
  <si>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</si>
  <si>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</si>
  <si>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</si>
  <si>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</si>
  <si>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</si>
  <si>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</si>
  <si>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</si>
  <si>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</si>
  <si>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</si>
  <si>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</si>
  <si>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</si>
  <si>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</si>
  <si>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</si>
  <si>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</si>
  <si>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</si>
  <si>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</si>
  <si>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</si>
  <si>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</si>
  <si>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</si>
  <si>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</si>
  <si>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</si>
  <si>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</si>
  <si>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</si>
  <si>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</si>
  <si>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</si>
  <si>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</si>
  <si>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</si>
  <si>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</si>
  <si>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</si>
  <si>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</si>
  <si>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</si>
  <si>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</si>
  <si>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</si>
  <si>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</si>
  <si>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</si>
  <si>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</si>
  <si>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</si>
  <si>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</si>
  <si>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</si>
  <si>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</si>
  <si>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</si>
  <si>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</si>
  <si>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</si>
  <si>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</si>
  <si>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</si>
  <si>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</si>
  <si>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</si>
  <si>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</si>
  <si>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</si>
  <si>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</si>
  <si>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</si>
  <si>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</si>
  <si>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</si>
  <si>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</si>
  <si>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</si>
  <si>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</si>
  <si>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</si>
  <si>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</si>
  <si>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</si>
  <si>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</si>
  <si>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</si>
  <si>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</si>
  <si>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</si>
  <si>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</si>
  <si>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</si>
  <si>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</si>
  <si>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</si>
  <si>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</si>
  <si>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</si>
  <si>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</si>
  <si>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</si>
  <si>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</si>
  <si>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</si>
  <si>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</si>
  <si>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</si>
  <si>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</si>
  <si>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</si>
  <si>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</si>
  <si>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</si>
  <si>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</si>
  <si>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</si>
  <si>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</si>
  <si>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</si>
  <si>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</si>
  <si>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</si>
  <si>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</si>
  <si>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</si>
  <si>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</si>
  <si>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</si>
  <si>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</si>
  <si>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</si>
  <si>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</si>
  <si>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</si>
  <si>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</si>
  <si>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</si>
  <si>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</si>
  <si>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</si>
  <si>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</si>
  <si>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</si>
  <si>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</si>
  <si>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</si>
  <si>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</si>
  <si>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</si>
  <si>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</si>
  <si>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</si>
  <si>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</si>
  <si>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</si>
  <si>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</si>
  <si>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</si>
  <si>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</si>
  <si>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</si>
  <si>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</si>
  <si>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</si>
  <si>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</si>
  <si>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</si>
  <si>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</si>
  <si>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</si>
  <si>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</si>
  <si>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</si>
  <si>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</si>
  <si>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</si>
  <si>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</si>
  <si>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</si>
  <si>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</si>
  <si>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</si>
  <si>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</si>
  <si>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</si>
  <si>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</si>
  <si>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</si>
  <si>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</si>
  <si>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</si>
  <si>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</si>
  <si>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</si>
  <si>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</si>
  <si>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</si>
  <si>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</si>
  <si>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</si>
  <si>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</si>
  <si>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</si>
  <si>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</si>
  <si>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</si>
  <si>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</si>
  <si>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</si>
  <si>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</si>
  <si>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</si>
  <si>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</si>
  <si>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</si>
  <si>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</si>
  <si>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</si>
  <si>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</si>
  <si>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</si>
  <si>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</si>
  <si>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</si>
  <si>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</si>
  <si>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</si>
  <si>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</si>
  <si>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</si>
  <si>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</si>
  <si>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</si>
  <si>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</si>
  <si>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</si>
  <si>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</si>
  <si>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</si>
  <si>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</si>
  <si>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</si>
  <si>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</si>
  <si>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</si>
  <si>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</si>
  <si>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</si>
  <si>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</si>
  <si>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</si>
  <si>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</si>
  <si>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</si>
  <si>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</si>
  <si>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</si>
  <si>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</si>
  <si>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</si>
  <si>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</si>
  <si>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</si>
  <si>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</si>
  <si>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</si>
  <si>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</si>
  <si>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</si>
  <si>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</si>
  <si>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</si>
  <si>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</si>
  <si>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</si>
  <si>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</si>
  <si>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</si>
  <si>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</si>
  <si>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</si>
  <si>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</si>
  <si>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</si>
  <si>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</si>
  <si>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</si>
  <si>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</si>
  <si>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</si>
  <si>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</si>
  <si>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</si>
  <si>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</si>
  <si>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</si>
  <si>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</si>
  <si>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</si>
  <si>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</si>
  <si>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</si>
  <si>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</si>
  <si>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</si>
  <si>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</si>
  <si>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</si>
  <si>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</si>
  <si>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</si>
  <si>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</si>
  <si>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</si>
  <si>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</si>
  <si>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</si>
  <si>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</si>
  <si>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</si>
  <si>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</si>
  <si>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</si>
  <si>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</si>
  <si>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</si>
  <si>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</si>
  <si>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</si>
  <si>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</si>
  <si>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</si>
  <si>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</si>
  <si>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</si>
  <si>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</si>
  <si>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</si>
  <si>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</si>
  <si>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</si>
  <si>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</si>
  <si>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</si>
  <si>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</si>
  <si>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</si>
  <si>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</si>
  <si>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</si>
  <si>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</si>
  <si>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</si>
  <si>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</si>
  <si>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</si>
  <si>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</si>
  <si>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</si>
  <si>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</si>
  <si>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</si>
  <si>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</si>
  <si>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</si>
  <si>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</si>
  <si>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</si>
  <si>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</si>
  <si>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</si>
  <si>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</si>
  <si>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</si>
  <si>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</si>
  <si>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</si>
  <si>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</si>
  <si>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</si>
  <si>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</si>
  <si>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</si>
  <si>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</si>
  <si>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</si>
  <si>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</si>
  <si>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</si>
  <si>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</si>
  <si>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</si>
  <si>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</si>
  <si>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</si>
  <si>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</si>
  <si>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</si>
  <si>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</si>
  <si>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</si>
  <si>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</si>
  <si>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</si>
  <si>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</si>
  <si>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</si>
  <si>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</si>
  <si>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</si>
  <si>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</si>
  <si>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</si>
  <si>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</si>
  <si>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</si>
  <si>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</si>
  <si>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</si>
  <si>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</si>
  <si>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</si>
  <si>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</si>
  <si>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</si>
  <si>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</si>
  <si>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</si>
  <si>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</si>
  <si>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</si>
  <si>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</si>
  <si>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</si>
  <si>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</si>
  <si>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</si>
  <si>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</si>
  <si>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</si>
  <si>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</si>
  <si>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</si>
  <si>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</si>
  <si>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</si>
  <si>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</si>
  <si>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</si>
  <si>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</si>
  <si>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</si>
  <si>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</si>
  <si>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</si>
  <si>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</si>
  <si>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</si>
  <si>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</si>
  <si>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</si>
  <si>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</si>
  <si>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</si>
  <si>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</si>
  <si>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</si>
  <si>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</si>
  <si>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</si>
  <si>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</si>
  <si>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</si>
  <si>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</si>
  <si>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</si>
  <si>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</si>
  <si>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</si>
  <si>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</si>
  <si>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</si>
  <si>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</si>
  <si>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</si>
  <si>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</si>
  <si>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</si>
  <si>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</si>
  <si>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</si>
  <si>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</si>
  <si>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</si>
  <si>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</si>
  <si>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</si>
  <si>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</si>
  <si>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</si>
  <si>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</si>
  <si>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</si>
  <si>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</si>
  <si>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</si>
  <si>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</si>
  <si>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</si>
  <si>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</si>
  <si>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</si>
  <si>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</si>
  <si>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</si>
  <si>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</si>
  <si>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</si>
  <si>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</si>
  <si>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</si>
  <si>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</si>
  <si>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</si>
  <si>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</si>
  <si>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</si>
  <si>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</si>
  <si>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</si>
  <si>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</si>
  <si>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</si>
  <si>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</si>
  <si>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</si>
  <si>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</si>
  <si>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</si>
  <si>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</si>
  <si>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</si>
  <si>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</si>
  <si>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</si>
  <si>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</si>
  <si>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</si>
  <si>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</si>
  <si>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</si>
  <si>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</si>
  <si>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</si>
  <si>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</si>
  <si>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</si>
  <si>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</si>
  <si>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</si>
  <si>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</si>
  <si>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</si>
  <si>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</si>
  <si>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</si>
  <si>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</si>
  <si>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</si>
  <si>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</si>
  <si>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</si>
  <si>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</si>
  <si>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</si>
  <si>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</si>
  <si>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</si>
  <si>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</si>
  <si>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</si>
  <si>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</si>
  <si>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</si>
  <si>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</si>
  <si>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</si>
  <si>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</si>
  <si>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</si>
  <si>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</si>
  <si>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</si>
  <si>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</si>
  <si>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</si>
  <si>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</si>
  <si>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</si>
  <si>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</si>
  <si>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</si>
  <si>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</si>
  <si>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</si>
  <si>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</si>
  <si>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</si>
  <si>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</si>
  <si>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</si>
  <si>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</si>
  <si>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</si>
  <si>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</si>
  <si>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</si>
  <si>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</si>
  <si>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</si>
  <si>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</si>
  <si>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</si>
  <si>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</si>
  <si>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</si>
  <si>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</si>
  <si>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</si>
  <si>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</si>
  <si>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</si>
  <si>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</si>
  <si>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</si>
  <si>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</si>
  <si>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</si>
  <si>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</si>
  <si>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</si>
  <si>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</si>
  <si>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</si>
  <si>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</si>
  <si>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</si>
  <si>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</si>
  <si>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</si>
  <si>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</si>
  <si>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</si>
  <si>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</si>
  <si>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</si>
  <si>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</si>
  <si>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</si>
  <si>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</si>
  <si>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</si>
  <si>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</si>
  <si>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</si>
  <si>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</si>
  <si>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</si>
  <si>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</si>
  <si>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</si>
  <si>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</si>
  <si>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</si>
  <si>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</si>
  <si>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</si>
  <si>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</si>
  <si>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</si>
  <si>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</si>
  <si>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</si>
  <si>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</si>
  <si>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</si>
  <si>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</si>
  <si>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</si>
  <si>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</si>
  <si>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</si>
  <si>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</si>
  <si>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</si>
  <si>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</si>
  <si>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</si>
  <si>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</si>
  <si>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</si>
  <si>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</si>
  <si>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</si>
  <si>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</si>
  <si>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</si>
  <si>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</si>
  <si>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</si>
  <si>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</si>
  <si>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</si>
  <si>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</si>
  <si>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</si>
  <si>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</si>
  <si>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</si>
  <si>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</si>
  <si>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</si>
  <si>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</si>
  <si>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</si>
  <si>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</si>
  <si>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</si>
  <si>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</si>
  <si>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</si>
  <si>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</si>
  <si>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</si>
  <si>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</si>
  <si>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</si>
  <si>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</si>
  <si>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</si>
  <si>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</si>
  <si>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</si>
  <si>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</si>
  <si>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</si>
  <si>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</si>
  <si>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</si>
  <si>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</si>
  <si>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</si>
  <si>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</si>
  <si>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</si>
  <si>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</si>
  <si>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</si>
  <si>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</si>
  <si>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</si>
  <si>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</si>
  <si>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</si>
  <si>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</si>
  <si>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</si>
  <si>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</si>
  <si>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</si>
  <si>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</si>
  <si>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</si>
  <si>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</si>
  <si>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</si>
  <si>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</si>
  <si>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</si>
  <si>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</si>
  <si>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</si>
  <si>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</si>
  <si>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</si>
  <si>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</si>
  <si>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</si>
  <si>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</si>
  <si>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</si>
  <si>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</si>
  <si>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</si>
  <si>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</si>
  <si>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</si>
  <si>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</si>
  <si>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</si>
  <si>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</si>
  <si>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</si>
  <si>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</si>
  <si>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</si>
  <si>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</si>
  <si>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</si>
  <si>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</si>
  <si>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</si>
  <si>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</si>
  <si>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</si>
  <si>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</si>
  <si>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</si>
  <si>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</si>
  <si>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</si>
  <si>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</si>
  <si>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</si>
  <si>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</si>
  <si>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</si>
  <si>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</si>
  <si>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</si>
  <si>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</si>
  <si>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</si>
  <si>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</si>
  <si>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</si>
  <si>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</si>
  <si>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</si>
  <si>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</si>
  <si>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</si>
  <si>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</si>
  <si>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</si>
  <si>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</si>
  <si>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</si>
  <si>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</si>
  <si>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</si>
  <si>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</si>
  <si>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</si>
  <si>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</si>
  <si>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</si>
  <si>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</si>
  <si>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</si>
  <si>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</si>
  <si>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</si>
  <si>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</si>
  <si>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</si>
  <si>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</si>
  <si>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</si>
  <si>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</si>
  <si>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</si>
  <si>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</si>
  <si>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</si>
  <si>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</si>
  <si>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</si>
  <si>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</si>
  <si>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</si>
  <si>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</si>
  <si>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</si>
  <si>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</si>
  <si>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</si>
  <si>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</si>
  <si>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</si>
  <si>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</si>
  <si>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</si>
  <si>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</si>
  <si>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</si>
  <si>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</si>
  <si>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</si>
  <si>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</si>
  <si>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</si>
  <si>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</si>
  <si>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</si>
  <si>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</si>
  <si>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</si>
  <si>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</si>
  <si>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</si>
  <si>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</si>
  <si>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</si>
  <si>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</si>
  <si>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</si>
  <si>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</si>
  <si>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</si>
  <si>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</si>
  <si>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</si>
  <si>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</si>
  <si>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</si>
  <si>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</si>
  <si>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</si>
  <si>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</si>
  <si>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</si>
  <si>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</si>
  <si>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</si>
  <si>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</si>
  <si>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</si>
  <si>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</si>
  <si>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</si>
  <si>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</si>
  <si>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</si>
  <si>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</si>
  <si>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</si>
  <si>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</si>
  <si>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</si>
  <si>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</si>
  <si>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</si>
  <si>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</si>
  <si>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</si>
  <si>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</si>
  <si>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</si>
  <si>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</si>
  <si>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</si>
  <si>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</si>
  <si>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</si>
  <si>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</si>
  <si>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</si>
  <si>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</si>
  <si>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</si>
  <si>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</si>
  <si>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</si>
  <si>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</si>
  <si>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</si>
  <si>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</si>
  <si>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</si>
  <si>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</si>
  <si>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</si>
  <si>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</si>
  <si>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</si>
  <si>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</si>
  <si>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</si>
  <si>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</si>
  <si>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</si>
  <si>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</si>
  <si>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</si>
  <si>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</si>
  <si>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</si>
  <si>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</si>
  <si>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</si>
  <si>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</si>
  <si>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</si>
  <si>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</si>
  <si>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</si>
  <si>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</si>
  <si>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</si>
  <si>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</si>
  <si>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</si>
  <si>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</si>
  <si>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</si>
  <si>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</si>
  <si>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</si>
  <si>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</si>
  <si>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</si>
  <si>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</si>
  <si>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</si>
  <si>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</si>
  <si>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</si>
  <si>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</si>
  <si>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</si>
  <si>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</si>
  <si>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</si>
  <si>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</si>
  <si>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</si>
  <si>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</si>
  <si>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</si>
  <si>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</si>
  <si>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</si>
  <si>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</si>
  <si>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</si>
  <si>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</si>
  <si>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</si>
  <si>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</si>
  <si>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</si>
  <si>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</si>
  <si>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</si>
  <si>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</si>
  <si>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</si>
  <si>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</si>
  <si>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</si>
  <si>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</si>
  <si>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</si>
  <si>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</si>
  <si>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</si>
  <si>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</si>
  <si>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</si>
  <si>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</si>
  <si>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</si>
  <si>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</si>
  <si>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</si>
  <si>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</si>
  <si>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</si>
  <si>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</si>
  <si>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</si>
  <si>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</si>
  <si>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</si>
  <si>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</si>
  <si>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</si>
  <si>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</si>
  <si>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</si>
  <si>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</si>
  <si>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</si>
  <si>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</si>
  <si>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</si>
  <si>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</si>
  <si>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</si>
  <si>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</si>
  <si>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</si>
  <si>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</si>
  <si>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</si>
  <si>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</si>
  <si>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</si>
  <si>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</si>
  <si>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</si>
  <si>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</si>
  <si>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</si>
  <si>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</si>
  <si>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</si>
  <si>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</si>
  <si>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</si>
  <si>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</si>
  <si>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</si>
  <si>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</si>
  <si>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</si>
  <si>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</si>
  <si>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</si>
  <si>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</si>
  <si>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</si>
  <si>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</si>
  <si>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</si>
  <si>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</si>
  <si>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</si>
  <si>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</si>
  <si>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</si>
  <si>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</si>
  <si>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</si>
  <si>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</si>
  <si>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</si>
  <si>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</si>
  <si>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</si>
  <si>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</si>
  <si>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</si>
  <si>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</si>
  <si>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</si>
  <si>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</si>
  <si>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</si>
  <si>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</si>
  <si>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</si>
  <si>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</si>
  <si>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</si>
  <si>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</si>
  <si>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</si>
  <si>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</si>
  <si>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</si>
  <si>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</si>
  <si>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</si>
  <si>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</si>
  <si>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</si>
  <si>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</si>
  <si>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</si>
  <si>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</si>
  <si>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</si>
  <si>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</si>
  <si>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</si>
  <si>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</si>
  <si>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</si>
  <si>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</si>
  <si>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</si>
  <si>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</si>
  <si>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</si>
  <si>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</si>
  <si>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</si>
  <si>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</si>
  <si>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</si>
  <si>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</si>
  <si>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</si>
  <si>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</si>
  <si>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</si>
  <si>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</si>
  <si>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</si>
  <si>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</si>
  <si>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</si>
  <si>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</si>
  <si>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</si>
  <si>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</si>
  <si>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</si>
  <si>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</si>
  <si>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</si>
  <si>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</si>
  <si>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</si>
  <si>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</si>
  <si>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</si>
  <si>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</si>
  <si>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</si>
  <si>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</si>
  <si>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</si>
  <si>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</si>
  <si>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</si>
  <si>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</si>
  <si>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</si>
  <si>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</si>
  <si>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</si>
  <si>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</si>
  <si>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</si>
  <si>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</si>
  <si>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</si>
  <si>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</si>
  <si>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</si>
  <si>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</si>
  <si>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</si>
  <si>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</si>
  <si>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</si>
  <si>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</si>
  <si>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</si>
  <si>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</si>
  <si>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</si>
  <si>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</si>
  <si>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</si>
  <si>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</si>
  <si>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</si>
  <si>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</si>
  <si>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</si>
  <si>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</si>
  <si>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</si>
  <si>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</si>
  <si>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</si>
  <si>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</si>
  <si>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</si>
  <si>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</si>
  <si>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</si>
  <si>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</si>
  <si>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</si>
  <si>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</si>
  <si>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</si>
  <si>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</si>
  <si>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</si>
  <si>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</si>
  <si>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</si>
  <si>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</si>
  <si>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</si>
  <si>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</si>
  <si>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</si>
  <si>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</si>
  <si>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</si>
  <si>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</si>
  <si>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</si>
  <si>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</si>
  <si>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</si>
  <si>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</si>
  <si>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</si>
  <si>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</si>
  <si>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</si>
  <si>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</si>
  <si>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</si>
  <si>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</si>
  <si>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</si>
  <si>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</si>
  <si>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</si>
  <si>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</si>
  <si>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</si>
  <si>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</si>
  <si>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</si>
  <si>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</si>
  <si>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</si>
  <si>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</si>
  <si>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</si>
  <si>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</si>
  <si>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</si>
  <si>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</si>
  <si>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</si>
  <si>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</si>
  <si>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</si>
  <si>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</si>
  <si>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</si>
  <si>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</si>
  <si>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</si>
  <si>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</si>
  <si>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</si>
  <si>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</si>
  <si>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</si>
  <si>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</si>
  <si>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</si>
  <si>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</si>
  <si>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</si>
  <si>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</si>
  <si>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</si>
  <si>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</si>
  <si>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</si>
  <si>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</si>
  <si>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</si>
  <si>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</si>
  <si>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</si>
  <si>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</si>
  <si>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</si>
  <si>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</si>
  <si>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</si>
  <si>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</si>
  <si>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</si>
  <si>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</si>
  <si>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</si>
  <si>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</si>
  <si>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</si>
  <si>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</si>
  <si>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</si>
  <si>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</si>
  <si>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</si>
  <si>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</si>
  <si>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</si>
  <si>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</si>
  <si>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</si>
  <si>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</si>
  <si>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</si>
  <si>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</si>
  <si>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</si>
  <si>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</si>
  <si>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</si>
  <si>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</si>
  <si>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</si>
  <si>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</si>
  <si>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</si>
  <si>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</si>
  <si>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</si>
  <si>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</si>
  <si>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</si>
  <si>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</si>
  <si>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</si>
  <si>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</si>
  <si>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</si>
  <si>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</si>
  <si>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</si>
  <si>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</si>
  <si>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</si>
  <si>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</si>
  <si>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</si>
  <si>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</si>
  <si>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</si>
  <si>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</si>
  <si>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</si>
  <si>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</si>
  <si>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</si>
  <si>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</si>
  <si>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</si>
  <si>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</si>
  <si>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</si>
  <si>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</si>
  <si>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</si>
  <si>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</si>
  <si>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</si>
  <si>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</si>
  <si>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</si>
  <si>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</si>
  <si>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</si>
  <si>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</si>
  <si>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</si>
  <si>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</si>
  <si>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</si>
  <si>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</si>
  <si>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</si>
  <si>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</si>
  <si>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</si>
  <si>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</si>
  <si>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</si>
  <si>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</si>
  <si>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</si>
  <si>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</si>
  <si>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</si>
  <si>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</si>
  <si>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</si>
  <si>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</si>
  <si>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</si>
  <si>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</si>
  <si>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</si>
  <si>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</si>
  <si>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</si>
  <si>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</si>
  <si>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</si>
  <si>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</si>
  <si>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</si>
  <si>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</si>
  <si>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</si>
  <si>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</si>
  <si>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</si>
  <si>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</si>
  <si>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</si>
  <si>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</si>
  <si>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</si>
  <si>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</si>
  <si>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</si>
  <si>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</si>
  <si>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</si>
  <si>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</si>
  <si>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</si>
  <si>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</si>
  <si>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</si>
  <si>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</si>
  <si>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</si>
  <si>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</si>
  <si>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</si>
  <si>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</si>
  <si>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</si>
  <si>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</si>
  <si>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</si>
  <si>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</si>
  <si>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</si>
  <si>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</si>
  <si>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</si>
  <si>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</si>
  <si>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</si>
  <si>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</si>
  <si>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</si>
  <si>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</si>
  <si>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</si>
  <si>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</si>
  <si>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</si>
  <si>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</si>
  <si>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</si>
  <si>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</si>
  <si>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</si>
  <si>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</si>
  <si>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</si>
  <si>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</si>
  <si>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</si>
  <si>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</si>
  <si>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</si>
  <si>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</si>
  <si>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</si>
  <si>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</si>
  <si>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</si>
  <si>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</si>
  <si>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</si>
  <si>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</si>
  <si>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</si>
  <si>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</si>
  <si>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</si>
  <si>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</si>
  <si>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</si>
  <si>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</si>
  <si>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</si>
  <si>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</si>
  <si>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</si>
  <si>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</si>
  <si>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</si>
  <si>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</si>
  <si>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</si>
  <si>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</si>
  <si>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</si>
  <si>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</si>
  <si>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</si>
  <si>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</si>
  <si>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</si>
  <si>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</si>
  <si>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</si>
  <si>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</si>
  <si>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</si>
  <si>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</si>
  <si>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</si>
  <si>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</si>
  <si>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</si>
  <si>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</si>
  <si>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</si>
  <si>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</si>
  <si>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</si>
  <si>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</si>
  <si>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</si>
  <si>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</si>
  <si>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</si>
  <si>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</si>
  <si>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</si>
  <si>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</si>
  <si>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</si>
  <si>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</si>
  <si>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</si>
  <si>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</si>
  <si>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</si>
  <si>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</si>
  <si>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</si>
  <si>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</si>
  <si>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</si>
  <si>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</si>
  <si>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</si>
  <si>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</si>
  <si>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</si>
  <si>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</si>
  <si>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</si>
  <si>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</si>
  <si>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</si>
  <si>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</si>
  <si>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</si>
  <si>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</si>
  <si>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</si>
  <si>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</si>
  <si>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</si>
  <si>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</si>
  <si>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</si>
  <si>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</si>
  <si>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</si>
  <si>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</si>
  <si>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</si>
  <si>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</si>
  <si>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</si>
  <si>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</si>
  <si>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</si>
  <si>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</si>
  <si>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</si>
  <si>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</si>
  <si>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</si>
  <si>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</si>
  <si>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</si>
  <si>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</si>
  <si>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</si>
  <si>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</si>
  <si>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</si>
  <si>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</si>
  <si>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</si>
  <si>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</si>
  <si>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</si>
  <si>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</si>
  <si>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</si>
  <si>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</si>
  <si>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</si>
  <si>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</si>
  <si>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</si>
  <si>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</si>
  <si>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</si>
  <si>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</si>
  <si>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</si>
  <si>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</si>
  <si>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</si>
  <si>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</si>
  <si>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</si>
  <si>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</si>
  <si>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</si>
  <si>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</si>
  <si>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</si>
  <si>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</si>
  <si>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</si>
  <si>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</si>
  <si>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Aurélia Marquis, Geoffroy Seveno</t>
  </si>
  <si>
    <t xml:space="preserve">LUYNES</t>
  </si>
  <si>
    <t xml:space="preserve">RUISSEAU DE LUYNES A AIX-EN-PROVENCE</t>
  </si>
  <si>
    <t xml:space="preserve">06194000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</si>
  <si>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</si>
  <si>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</si>
  <si>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</si>
  <si>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</si>
  <si>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</si>
  <si>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</si>
  <si>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</si>
  <si>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</si>
  <si>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pl.courant</t>
  </si>
  <si>
    <t xml:space="preserve">pl. lent</t>
  </si>
  <si>
    <t xml:space="preserve">niveau trophique</t>
  </si>
  <si>
    <t xml:space="preserve">élevé</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</si>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</sst>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42550</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8.25</v>
      </c>
      <c r="N5" s="324"/>
      <c r="O5" s="325" t="s">
        <v>830</v>
      </c>
      <c r="P5" s="326" t="n">
        <v>7</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3393</v>
      </c>
      <c r="Q6" s="339"/>
      <c r="R6" s="281"/>
      <c r="S6" s="281"/>
      <c r="T6" s="281"/>
      <c r="U6" s="281"/>
      <c r="V6" s="281"/>
      <c r="W6" s="295"/>
      <c r="X6" s="0"/>
      <c r="Y6" s="0"/>
      <c r="Z6" s="0"/>
    </row>
    <row r="7" customFormat="false" ht="12.75" hidden="false" customHeight="false" outlineLevel="0" collapsed="false">
      <c r="A7" s="340" t="s">
        <v>3394</v>
      </c>
      <c r="B7" s="341" t="n">
        <v>54</v>
      </c>
      <c r="C7" s="342" t="n">
        <v>46</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8.16666666666667</v>
      </c>
      <c r="P8" s="356" t="n">
        <f aca="false">IF(ISERROR(AVERAGE(K23:K82)),"  ",AVERAGE(K23:K82))</f>
        <v>1.33333333333333</v>
      </c>
      <c r="Q8" s="357"/>
      <c r="R8" s="281"/>
      <c r="S8" s="281"/>
      <c r="T8" s="281"/>
      <c r="U8" s="281"/>
      <c r="V8" s="281"/>
      <c r="W8" s="295"/>
      <c r="X8" s="0"/>
      <c r="Y8" s="0"/>
      <c r="Z8" s="0"/>
    </row>
    <row r="9" customFormat="false" ht="12.75" hidden="false" customHeight="false" outlineLevel="0" collapsed="false">
      <c r="A9" s="314" t="s">
        <v>3400</v>
      </c>
      <c r="B9" s="358" t="n">
        <v>0.1</v>
      </c>
      <c r="C9" s="359" t="n">
        <v>0.01</v>
      </c>
      <c r="D9" s="360"/>
      <c r="E9" s="360"/>
      <c r="F9" s="361" t="n">
        <f aca="false">($B9*$B$7+$C9*$C$7)/100</f>
        <v>0.0586</v>
      </c>
      <c r="G9" s="362"/>
      <c r="H9" s="317"/>
      <c r="I9" s="281"/>
      <c r="J9" s="363"/>
      <c r="K9" s="364"/>
      <c r="L9" s="347"/>
      <c r="M9" s="365"/>
      <c r="N9" s="355" t="s">
        <v>3401</v>
      </c>
      <c r="O9" s="356" t="n">
        <f aca="false">IF(ISERROR(STDEVP(J23:J82))," ",STDEVP(J23:J82))</f>
        <v>3.28718048721934</v>
      </c>
      <c r="P9" s="356" t="n">
        <f aca="false">IF(ISERROR(STDEVP(K23:K82)),"  ",STDEVP(K23:K82))</f>
        <v>0.471404520791032</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12</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2</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4</v>
      </c>
      <c r="M13" s="381"/>
      <c r="N13" s="389" t="s">
        <v>3414</v>
      </c>
      <c r="O13" s="390" t="n">
        <f aca="false">COUNTIF(F23:F82,"&gt;0")</f>
        <v>8</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1</v>
      </c>
      <c r="M14" s="381"/>
      <c r="N14" s="392" t="s">
        <v>3417</v>
      </c>
      <c r="O14" s="393" t="n">
        <f aca="false">COUNTIF($J$23:$J$82,"&gt;-1")</f>
        <v>6</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1</v>
      </c>
      <c r="M15" s="381"/>
      <c r="N15" s="389" t="s">
        <v>3420</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2</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0.75</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0.29</v>
      </c>
      <c r="C20" s="433" t="n">
        <f aca="false">SUM(C23:C82)</f>
        <v>0.01</v>
      </c>
      <c r="D20" s="434"/>
      <c r="E20" s="435" t="s">
        <v>3427</v>
      </c>
      <c r="F20" s="436" t="n">
        <f aca="false">($B20*$B$7+$C20*$C$7)/100</f>
        <v>0.1612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0.1566</v>
      </c>
      <c r="C21" s="444" t="n">
        <f aca="false">C20*C7/100</f>
        <v>0.0046</v>
      </c>
      <c r="D21" s="445" t="s">
        <v>3430</v>
      </c>
      <c r="E21" s="446"/>
      <c r="F21" s="447" t="n">
        <f aca="false">B21+C21</f>
        <v>0.1612</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134</v>
      </c>
      <c r="B23" s="472" t="n">
        <v>0.01</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0.0054</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0.0054</v>
      </c>
      <c r="S23" s="485" t="n">
        <f aca="false">IF(OR(ISTEXT(H23),R23=0),"",IF(R23&lt;0.1,1,IF(R23&lt;1,2,IF(R23&lt;10,3,IF(R23&lt;50,4,IF(R23&gt;=50,5,""))))))</f>
        <v>1</v>
      </c>
      <c r="T23" s="485" t="n">
        <f aca="false">IF(ISERROR(S23*J23),0,S23*J23)</f>
        <v>6</v>
      </c>
      <c r="U23" s="485" t="n">
        <f aca="false">IF(ISERROR(S23*J23*K23),0,S23*J23*K23)</f>
        <v>6</v>
      </c>
      <c r="V23" s="485" t="n">
        <f aca="false">IF(ISERROR(S23*K23),0,S23*K23)</f>
        <v>1</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395</v>
      </c>
      <c r="B24" s="490" t="n">
        <v>0.1</v>
      </c>
      <c r="C24" s="491"/>
      <c r="D24" s="492" t="str">
        <f aca="false">IF(ISERROR(VLOOKUP($A24,'liste reference'!$A$6:$B$1174,2,0)),IF(ISERROR(VLOOKUP($A24,'liste reference'!$B$6:$B$1174,1,0)),"",VLOOKUP($A24,'liste reference'!$B$6:$B$1174,1,0)),VLOOKUP($A24,'liste reference'!$A$6:$B$1174,2,0))</f>
        <v>Vaucheria sp.</v>
      </c>
      <c r="E24" s="493" t="e">
        <f aca="false">IF(D24="",0,VLOOKUP(D24,D$22:D23,1,0))</f>
        <v>#N/A</v>
      </c>
      <c r="F24" s="494" t="n">
        <f aca="false">IF(AND(OR(A24="",A24="!!!!!!"),B24="",C24=""),"",IF(OR(AND(B24="",C24=""),ISERROR(C24+B24)),"!!!",($B24*$B$7+$C24*$C$7)/100))</f>
        <v>0.054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4</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Vaucheria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1169</v>
      </c>
      <c r="R24" s="484" t="n">
        <f aca="false">IF(ISTEXT(H24),"",(B24*$B$7/100)+(C24*$C$7/100))</f>
        <v>0.054</v>
      </c>
      <c r="S24" s="485" t="n">
        <f aca="false">IF(OR(ISTEXT(H24),R24=0),"",IF(R24&lt;0.1,1,IF(R24&lt;1,2,IF(R24&lt;10,3,IF(R24&lt;50,4,IF(R24&gt;=50,5,""))))))</f>
        <v>1</v>
      </c>
      <c r="T24" s="485" t="n">
        <f aca="false">IF(ISERROR(S24*J24),0,S24*J24)</f>
        <v>4</v>
      </c>
      <c r="U24" s="485" t="n">
        <f aca="false">IF(ISERROR(S24*J24*K24),0,S24*J24*K24)</f>
        <v>4</v>
      </c>
      <c r="V24" s="501" t="n">
        <f aca="false">IF(ISERROR(S24*K24),0,S24*K24)</f>
        <v>1</v>
      </c>
      <c r="W24" s="502"/>
      <c r="X24" s="503"/>
      <c r="Y24" s="488" t="str">
        <f aca="false">IF(AND(ISNUMBER(F24),OR(A24="",A24="!!!!!!")),"!!!!!!",IF(A24="new.cod","NEWCOD",IF(AND((Z24=""),ISTEXT(A24),A24&lt;&gt;"!!!!!!"),A24,IF(Z24="","",INDEX('liste reference'!$A$6:$A$1174,Z24)))))</f>
        <v>VAUSPX</v>
      </c>
      <c r="Z24" s="470" t="n">
        <f aca="false">IF(ISERROR(MATCH(A24,'liste reference'!$A$6:$A$1174,0)),IF(ISERROR(MATCH(A24,'liste reference'!$B$6:$B$1174,0)),"",(MATCH(A24,'liste reference'!$B$6:$B$1174,0))),(MATCH(A24,'liste reference'!$A$6:$A$1174,0)))</f>
        <v>118</v>
      </c>
    </row>
    <row r="25" customFormat="false" ht="12.75" hidden="false" customHeight="false" outlineLevel="0" collapsed="false">
      <c r="A25" s="489" t="s">
        <v>557</v>
      </c>
      <c r="B25" s="490" t="n">
        <v>0.06</v>
      </c>
      <c r="C25" s="491"/>
      <c r="D25" s="492" t="str">
        <f aca="false">IF(ISERROR(VLOOKUP($A25,'liste reference'!$A$6:$B$1174,2,0)),IF(ISERROR(VLOOKUP($A25,'liste reference'!$B$6:$B$1174,1,0)),"",VLOOKUP($A25,'liste reference'!$B$6:$B$1174,1,0)),VLOOKUP($A25,'liste reference'!$A$6:$B$1174,2,0))</f>
        <v>Pellia sp.</v>
      </c>
      <c r="E25" s="493" t="e">
        <f aca="false">IF(D25="",0,VLOOKUP(D25,D$22:D24,1,0))</f>
        <v>#N/A</v>
      </c>
      <c r="F25" s="494" t="n">
        <f aca="false">IF(AND(OR(A25="",A25="!!!!!!"),B25="",C25=""),"",IF(OR(AND(B25="",C25=""),ISERROR(C25+B25)),"!!!",($B25*$B$7+$C25*$C$7)/100))</f>
        <v>0.0324</v>
      </c>
      <c r="G25" s="495" t="str">
        <f aca="false">IF(A25="","",IF(ISERROR(VLOOKUP($A25,'liste reference'!$A$6:$Q$1174,9,0)),IF(ISERROR(VLOOKUP($A25,'liste reference'!$B$6:$Q$1174,8,0)),"    -",VLOOKUP($A25,'liste reference'!$B$6:$Q$1174,8,0)),VLOOKUP($A25,'liste reference'!$A$6:$Q$1174,9,0)))</f>
        <v>BRh</v>
      </c>
      <c r="H25" s="496" t="n">
        <f aca="false">IF(A25="","x",IF(ISERROR(VLOOKUP($A25,'liste reference'!$A$6:$Q$1174,10,0)),IF(ISERROR(VLOOKUP($A25,'liste reference'!$B$6:$Q$1174,9,0)),"x",VLOOKUP($A25,'liste reference'!$B$6:$Q$1174,9,0)),VLOOKUP($A25,'liste reference'!$A$6:$Q$1174,10,0)))</f>
        <v>4</v>
      </c>
      <c r="I25" s="281" t="n">
        <f aca="false">IF(A25="","",1)</f>
        <v>1</v>
      </c>
      <c r="J25" s="497" t="str">
        <f aca="false">IF(ISNUMBER($H25),IF(ISERROR(VLOOKUP($A25,'liste reference'!$A$6:$Q$1174,6,0)),IF(ISERROR(VLOOKUP($A25,'liste reference'!$B$6:$Q$1174,5,0)),"nu",VLOOKUP($A25,'liste reference'!$B$6:$Q$1174,5,0)),VLOOKUP($A25,'liste reference'!$A$6:$Q$1174,6,0)),"nu")</f>
        <v>nc</v>
      </c>
      <c r="K25" s="497" t="str">
        <f aca="false">IF(ISNUMBER($H25),IF(ISERROR(VLOOKUP($A25,'liste reference'!$A$6:$Q$1174,7,0)),IF(ISERROR(VLOOKUP($A25,'liste reference'!$B$6:$Q$1174,6,0)),"nu",VLOOKUP($A25,'liste reference'!$B$6:$Q$1174,6,0)),VLOOKUP($A25,'liste reference'!$A$6:$Q$1174,7,0)),"nu")</f>
        <v>nc</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Pellia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1196</v>
      </c>
      <c r="R25" s="484" t="n">
        <f aca="false">IF(ISTEXT(H25),"",(B25*$B$7/100)+(C25*$C$7/100))</f>
        <v>0.0324</v>
      </c>
      <c r="S25" s="485" t="n">
        <f aca="false">IF(OR(ISTEXT(H25),R25=0),"",IF(R25&lt;0.1,1,IF(R25&lt;1,2,IF(R25&lt;10,3,IF(R25&lt;50,4,IF(R25&gt;=50,5,""))))))</f>
        <v>1</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PELSPX</v>
      </c>
      <c r="Z25" s="470" t="n">
        <f aca="false">IF(ISERROR(MATCH(A25,'liste reference'!$A$6:$A$1174,0)),IF(ISERROR(MATCH(A25,'liste reference'!$B$6:$B$1174,0)),"",(MATCH(A25,'liste reference'!$B$6:$B$1174,0))),(MATCH(A25,'liste reference'!$A$6:$A$1174,0)))</f>
        <v>170</v>
      </c>
    </row>
    <row r="26" customFormat="false" ht="12.75" hidden="false" customHeight="false" outlineLevel="0" collapsed="false">
      <c r="A26" s="489" t="s">
        <v>830</v>
      </c>
      <c r="B26" s="490" t="n">
        <v>0.08</v>
      </c>
      <c r="C26" s="491"/>
      <c r="D26" s="492" t="str">
        <f aca="false">IF(ISERROR(VLOOKUP($A26,'liste reference'!$A$6:$B$1174,2,0)),IF(ISERROR(VLOOKUP($A26,'liste reference'!$B$6:$B$1174,1,0)),"",VLOOKUP($A26,'liste reference'!$B$6:$B$1174,1,0)),VLOOKUP($A26,'liste reference'!$A$6:$B$1174,2,0))</f>
        <v>Fissidens crassipes</v>
      </c>
      <c r="E26" s="493" t="e">
        <f aca="false">IF(D26="",0,VLOOKUP(D26,D$22:D25,1,0))</f>
        <v>#N/A</v>
      </c>
      <c r="F26" s="494" t="n">
        <f aca="false">IF(AND(OR(A26="",A26="!!!!!!"),B26="",C26=""),"",IF(OR(AND(B26="",C26=""),ISERROR(C26+B26)),"!!!",($B26*$B$7+$C26*$C$7)/100))</f>
        <v>0.0432</v>
      </c>
      <c r="G26" s="495" t="str">
        <f aca="false">IF(A26="","",IF(ISERROR(VLOOKUP($A26,'liste reference'!$A$6:$Q$1174,9,0)),IF(ISERROR(VLOOKUP($A26,'liste reference'!$B$6:$Q$1174,8,0)),"    -",VLOOKUP($A26,'liste reference'!$B$6:$Q$1174,8,0)),VLOOKUP($A26,'liste reference'!$A$6:$Q$1174,9,0)))</f>
        <v>BRm</v>
      </c>
      <c r="H26" s="496" t="n">
        <f aca="false">IF(A26="","x",IF(ISERROR(VLOOKUP($A26,'liste reference'!$A$6:$Q$1174,10,0)),IF(ISERROR(VLOOKUP($A26,'liste reference'!$B$6:$Q$1174,9,0)),"x",VLOOKUP($A26,'liste reference'!$B$6:$Q$1174,9,0)),VLOOKUP($A26,'liste reference'!$A$6:$Q$1174,10,0)))</f>
        <v>5</v>
      </c>
      <c r="I26" s="281" t="n">
        <f aca="false">IF(A26="","",1)</f>
        <v>1</v>
      </c>
      <c r="J26" s="497" t="n">
        <f aca="false">IF(ISNUMBER($H26),IF(ISERROR(VLOOKUP($A26,'liste reference'!$A$6:$Q$1174,6,0)),IF(ISERROR(VLOOKUP($A26,'liste reference'!$B$6:$Q$1174,5,0)),"nu",VLOOKUP($A26,'liste reference'!$B$6:$Q$1174,5,0)),VLOOKUP($A26,'liste reference'!$A$6:$Q$1174,6,0)),"nu")</f>
        <v>12</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Fissidens crassipes</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1294</v>
      </c>
      <c r="R26" s="484" t="n">
        <f aca="false">IF(ISTEXT(H26),"",(B26*$B$7/100)+(C26*$C$7/100))</f>
        <v>0.0432</v>
      </c>
      <c r="S26" s="485" t="n">
        <f aca="false">IF(OR(ISTEXT(H26),R26=0),"",IF(R26&lt;0.1,1,IF(R26&lt;1,2,IF(R26&lt;10,3,IF(R26&lt;50,4,IF(R26&gt;=50,5,""))))))</f>
        <v>1</v>
      </c>
      <c r="T26" s="485" t="n">
        <f aca="false">IF(ISERROR(S26*J26),0,S26*J26)</f>
        <v>12</v>
      </c>
      <c r="U26" s="485" t="n">
        <f aca="false">IF(ISERROR(S26*J26*K26),0,S26*J26*K26)</f>
        <v>24</v>
      </c>
      <c r="V26" s="501" t="n">
        <f aca="false">IF(ISERROR(S26*K26),0,S26*K26)</f>
        <v>2</v>
      </c>
      <c r="W26" s="502"/>
      <c r="X26" s="503"/>
      <c r="Y26" s="488" t="str">
        <f aca="false">IF(AND(ISNUMBER(F26),OR(A26="",A26="!!!!!!")),"!!!!!!",IF(A26="new.cod","NEWCOD",IF(AND((Z26=""),ISTEXT(A26),A26&lt;&gt;"!!!!!!"),A26,IF(Z26="","",INDEX('liste reference'!$A$6:$A$1174,Z26)))))</f>
        <v>FISCRA</v>
      </c>
      <c r="Z26" s="470" t="n">
        <f aca="false">IF(ISERROR(MATCH(A26,'liste reference'!$A$6:$A$1174,0)),IF(ISERROR(MATCH(A26,'liste reference'!$B$6:$B$1174,0)),"",(MATCH(A26,'liste reference'!$B$6:$B$1174,0))),(MATCH(A26,'liste reference'!$A$6:$A$1174,0)))</f>
        <v>255</v>
      </c>
    </row>
    <row r="27" customFormat="false" ht="12.75" hidden="false" customHeight="false" outlineLevel="0" collapsed="false">
      <c r="A27" s="489" t="s">
        <v>974</v>
      </c>
      <c r="B27" s="490" t="n">
        <v>0.01</v>
      </c>
      <c r="C27" s="491"/>
      <c r="D27" s="492" t="str">
        <f aca="false">IF(ISERROR(VLOOKUP($A27,'liste reference'!$A$6:$B$1174,2,0)),IF(ISERROR(VLOOKUP($A27,'liste reference'!$B$6:$B$1174,1,0)),"",VLOOKUP($A27,'liste reference'!$B$6:$B$1174,1,0)),VLOOKUP($A27,'liste reference'!$A$6:$B$1174,2,0))</f>
        <v>Leptodictyum riparium </v>
      </c>
      <c r="E27" s="493" t="e">
        <f aca="false">IF(D27="",0,VLOOKUP(D27,D$22:D26,1,0))</f>
        <v>#N/A</v>
      </c>
      <c r="F27" s="494" t="n">
        <f aca="false">IF(AND(OR(A27="",A27="!!!!!!"),B27="",C27=""),"",IF(OR(AND(B27="",C27=""),ISERROR(C27+B27)),"!!!",($B27*$B$7+$C27*$C$7)/100))</f>
        <v>0.0054</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5</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Leptodictyum riparium </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1244</v>
      </c>
      <c r="R27" s="484" t="n">
        <f aca="false">IF(ISTEXT(H27),"",(B27*$B$7/100)+(C27*$C$7/100))</f>
        <v>0.0054</v>
      </c>
      <c r="S27" s="485" t="n">
        <f aca="false">IF(OR(ISTEXT(H27),R27=0),"",IF(R27&lt;0.1,1,IF(R27&lt;1,2,IF(R27&lt;10,3,IF(R27&lt;50,4,IF(R27&gt;=50,5,""))))))</f>
        <v>1</v>
      </c>
      <c r="T27" s="485" t="n">
        <f aca="false">IF(ISERROR(S27*J27),0,S27*J27)</f>
        <v>5</v>
      </c>
      <c r="U27" s="485" t="n">
        <f aca="false">IF(ISERROR(S27*J27*K27),0,S27*J27*K27)</f>
        <v>10</v>
      </c>
      <c r="V27" s="501" t="n">
        <f aca="false">IF(ISERROR(S27*K27),0,S27*K27)</f>
        <v>2</v>
      </c>
      <c r="W27" s="502"/>
      <c r="X27" s="503"/>
      <c r="Y27" s="488" t="str">
        <f aca="false">IF(AND(ISNUMBER(F27),OR(A27="",A27="!!!!!!")),"!!!!!!",IF(A27="new.cod","NEWCOD",IF(AND((Z27=""),ISTEXT(A27),A27&lt;&gt;"!!!!!!"),A27,IF(Z27="","",INDEX('liste reference'!$A$6:$A$1174,Z27)))))</f>
        <v>LEORIP</v>
      </c>
      <c r="Z27" s="470" t="n">
        <f aca="false">IF(ISERROR(MATCH(A27,'liste reference'!$A$6:$A$1174,0)),IF(ISERROR(MATCH(A27,'liste reference'!$B$6:$B$1174,0)),"",(MATCH(A27,'liste reference'!$B$6:$B$1174,0))),(MATCH(A27,'liste reference'!$A$6:$A$1174,0)))</f>
        <v>298</v>
      </c>
    </row>
    <row r="28" customFormat="false" ht="12.75" hidden="false" customHeight="false" outlineLevel="0" collapsed="false">
      <c r="A28" s="489" t="s">
        <v>1122</v>
      </c>
      <c r="B28" s="490" t="n">
        <v>0.02</v>
      </c>
      <c r="C28" s="491"/>
      <c r="D28" s="492" t="str">
        <f aca="false">IF(ISERROR(VLOOKUP($A28,'liste reference'!$A$6:$B$1174,2,0)),IF(ISERROR(VLOOKUP($A28,'liste reference'!$B$6:$B$1174,1,0)),"",VLOOKUP($A28,'liste reference'!$B$6:$B$1174,1,0)),VLOOKUP($A28,'liste reference'!$A$6:$B$1174,2,0))</f>
        <v>Rhynchostegium riparioides</v>
      </c>
      <c r="E28" s="493" t="e">
        <f aca="false">IF(D28="",0,VLOOKUP(D28,D$22:D27,1,0))</f>
        <v>#N/A</v>
      </c>
      <c r="F28" s="494" t="n">
        <f aca="false">IF(AND(OR(A28="",A28="!!!!!!"),B28="",C28=""),"",IF(OR(AND(B28="",C28=""),ISERROR(C28+B28)),"!!!",($B28*$B$7+$C28*$C$7)/100))</f>
        <v>0.0108</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Rhynchostegium riparioides</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31691</v>
      </c>
      <c r="R28" s="484" t="n">
        <f aca="false">IF(ISTEXT(H28),"",(B28*$B$7/100)+(C28*$C$7/100))</f>
        <v>0.0108</v>
      </c>
      <c r="S28" s="485" t="n">
        <f aca="false">IF(OR(ISTEXT(H28),R28=0),"",IF(R28&lt;0.1,1,IF(R28&lt;1,2,IF(R28&lt;10,3,IF(R28&lt;50,4,IF(R28&gt;=50,5,""))))))</f>
        <v>1</v>
      </c>
      <c r="T28" s="485" t="n">
        <f aca="false">IF(ISERROR(S28*J28),0,S28*J28)</f>
        <v>12</v>
      </c>
      <c r="U28" s="485" t="n">
        <f aca="false">IF(ISERROR(S28*J28*K28),0,S28*J28*K28)</f>
        <v>12</v>
      </c>
      <c r="V28" s="501" t="n">
        <f aca="false">IF(ISERROR(S28*K28),0,S28*K28)</f>
        <v>1</v>
      </c>
      <c r="W28" s="502"/>
      <c r="X28" s="503"/>
      <c r="Y28" s="488" t="str">
        <f aca="false">IF(AND(ISNUMBER(F28),OR(A28="",A28="!!!!!!")),"!!!!!!",IF(A28="new.cod","NEWCOD",IF(AND((Z28=""),ISTEXT(A28),A28&lt;&gt;"!!!!!!"),A28,IF(Z28="","",INDEX('liste reference'!$A$6:$A$1174,Z28)))))</f>
        <v>RHYRIP</v>
      </c>
      <c r="Z28" s="470" t="n">
        <f aca="false">IF(ISERROR(MATCH(A28,'liste reference'!$A$6:$A$1174,0)),IF(ISERROR(MATCH(A28,'liste reference'!$B$6:$B$1174,0)),"",(MATCH(A28,'liste reference'!$B$6:$B$1174,0))),(MATCH(A28,'liste reference'!$A$6:$A$1174,0)))</f>
        <v>345</v>
      </c>
    </row>
    <row r="29" customFormat="false" ht="12.75" hidden="false" customHeight="false" outlineLevel="0" collapsed="false">
      <c r="A29" s="489" t="s">
        <v>1277</v>
      </c>
      <c r="B29" s="490" t="n">
        <v>0.005</v>
      </c>
      <c r="C29" s="491" t="n">
        <v>0.01</v>
      </c>
      <c r="D29" s="492" t="str">
        <f aca="false">IF(ISERROR(VLOOKUP($A29,'liste reference'!$A$6:$B$1174,2,0)),IF(ISERROR(VLOOKUP($A29,'liste reference'!$B$6:$B$1174,1,0)),"",VLOOKUP($A29,'liste reference'!$B$6:$B$1174,1,0)),VLOOKUP($A29,'liste reference'!$A$6:$B$1174,2,0))</f>
        <v>Equisetum telmateia</v>
      </c>
      <c r="E29" s="493" t="e">
        <f aca="false">IF(D29="",0,VLOOKUP(D29,D$22:D28,1,0))</f>
        <v>#N/A</v>
      </c>
      <c r="F29" s="494" t="n">
        <f aca="false">IF(AND(OR(A29="",A29="!!!!!!"),B29="",C29=""),"",IF(OR(AND(B29="",C29=""),ISERROR(C29+B29)),"!!!",($B29*$B$7+$C29*$C$7)/100))</f>
        <v>0.0073</v>
      </c>
      <c r="G29" s="495" t="str">
        <f aca="false">IF(A29="","",IF(ISERROR(VLOOKUP($A29,'liste reference'!$A$6:$Q$1174,9,0)),IF(ISERROR(VLOOKUP($A29,'liste reference'!$B$6:$Q$1174,8,0)),"    -",VLOOKUP($A29,'liste reference'!$B$6:$Q$1174,8,0)),VLOOKUP($A29,'liste reference'!$A$6:$Q$1174,9,0)))</f>
        <v>PTE</v>
      </c>
      <c r="H29" s="496" t="n">
        <f aca="false">IF(A29="","x",IF(ISERROR(VLOOKUP($A29,'liste reference'!$A$6:$Q$1174,10,0)),IF(ISERROR(VLOOKUP($A29,'liste reference'!$B$6:$Q$1174,9,0)),"x",VLOOKUP($A29,'liste reference'!$B$6:$Q$1174,9,0)),VLOOKUP($A29,'liste reference'!$A$6:$Q$1174,10,0)))</f>
        <v>6</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Equisetum telmateia</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29958</v>
      </c>
      <c r="R29" s="484" t="n">
        <f aca="false">IF(ISTEXT(H29),"",(B29*$B$7/100)+(C29*$C$7/100))</f>
        <v>0.0073</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EQUTEL</v>
      </c>
      <c r="Z29" s="470" t="n">
        <f aca="false">IF(ISERROR(MATCH(A29,'liste reference'!$A$6:$A$1174,0)),IF(ISERROR(MATCH(A29,'liste reference'!$B$6:$B$1174,0)),"",(MATCH(A29,'liste reference'!$B$6:$B$1174,0))),(MATCH(A29,'liste reference'!$A$6:$A$1174,0)))</f>
        <v>393</v>
      </c>
    </row>
    <row r="30" customFormat="false" ht="12.75" hidden="false" customHeight="false" outlineLevel="0" collapsed="false">
      <c r="A30" s="489" t="s">
        <v>1483</v>
      </c>
      <c r="B30" s="490" t="n">
        <v>0.005</v>
      </c>
      <c r="C30" s="491"/>
      <c r="D30" s="492" t="str">
        <f aca="false">IF(ISERROR(VLOOKUP($A30,'liste reference'!$A$6:$B$1174,2,0)),IF(ISERROR(VLOOKUP($A30,'liste reference'!$B$6:$B$1174,1,0)),"",VLOOKUP($A30,'liste reference'!$B$6:$B$1174,1,0)),VLOOKUP($A30,'liste reference'!$A$6:$B$1174,2,0))</f>
        <v>Helosciadium nodiflorum </v>
      </c>
      <c r="E30" s="493" t="e">
        <f aca="false">IF(D30="",0,VLOOKUP(D30,D$22:D29,1,0))</f>
        <v>#N/A</v>
      </c>
      <c r="F30" s="494" t="n">
        <f aca="false">IF(AND(OR(A30="",A30="!!!!!!"),B30="",C30=""),"",IF(OR(AND(B30="",C30=""),ISERROR(C30+B30)),"!!!",($B30*$B$7+$C30*$C$7)/100))</f>
        <v>0.0027</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Helosciadium nodiflorum </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30053</v>
      </c>
      <c r="R30" s="484" t="n">
        <f aca="false">IF(ISTEXT(H30),"",(B30*$B$7/100)+(C30*$C$7/100))</f>
        <v>0.0027</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HELNOD</v>
      </c>
      <c r="Z30" s="470" t="n">
        <f aca="false">IF(ISERROR(MATCH(A30,'liste reference'!$A$6:$A$1174,0)),IF(ISERROR(MATCH(A30,'liste reference'!$B$6:$B$1174,0)),"",(MATCH(A30,'liste reference'!$B$6:$B$1174,0))),(MATCH(A30,'liste reference'!$A$6:$A$1174,0)))</f>
        <v>460</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0.1612</v>
      </c>
      <c r="G83" s="424"/>
      <c r="H83" s="424"/>
      <c r="I83" s="424"/>
      <c r="J83" s="424"/>
      <c r="K83" s="424"/>
      <c r="L83" s="424"/>
      <c r="M83" s="485"/>
      <c r="N83" s="485"/>
      <c r="O83" s="485"/>
      <c r="P83" s="485"/>
      <c r="Q83" s="485"/>
      <c r="R83" s="485"/>
      <c r="S83" s="485"/>
      <c r="T83" s="485"/>
      <c r="U83" s="485"/>
      <c r="V83" s="485" t="n">
        <f aca="false">SUM(V23:V82)</f>
        <v>8</v>
      </c>
      <c r="W83" s="485"/>
      <c r="X83" s="523"/>
      <c r="Y83" s="523"/>
      <c r="Z83" s="524"/>
    </row>
    <row r="84" customFormat="false" ht="12.75" hidden="true" customHeight="false" outlineLevel="0" collapsed="false">
      <c r="A84" s="518" t="str">
        <f aca="false">A3</f>
        <v>LUYNES</v>
      </c>
      <c r="B84" s="453" t="str">
        <f aca="false">C3</f>
        <v>RUISSEAU DE LUYNES A AIX-EN-PROVENCE</v>
      </c>
      <c r="C84" s="525" t="str">
        <f aca="false">A4</f>
        <v>(Date)</v>
      </c>
      <c r="D84" s="526" t="n">
        <f aca="false">IF(OR(ISERROR(SUM($U$23:$U$82)/SUM($V$23:$V$82)),F7&lt;&gt;100),-1,SUM($U$23:$U$82)/SUM($V$23:$V$82))</f>
        <v>8.25</v>
      </c>
      <c r="E84" s="527" t="n">
        <f aca="false">O13</f>
        <v>8</v>
      </c>
      <c r="F84" s="453" t="n">
        <f aca="false">O14</f>
        <v>6</v>
      </c>
      <c r="G84" s="453" t="n">
        <f aca="false">O15</f>
        <v>4</v>
      </c>
      <c r="H84" s="453" t="n">
        <f aca="false">O16</f>
        <v>2</v>
      </c>
      <c r="I84" s="453" t="n">
        <f aca="false">O17</f>
        <v>0</v>
      </c>
      <c r="J84" s="528" t="n">
        <f aca="false">O8</f>
        <v>8.16666666666667</v>
      </c>
      <c r="K84" s="529" t="n">
        <f aca="false">O9</f>
        <v>3.28718048721934</v>
      </c>
      <c r="L84" s="530" t="n">
        <f aca="false">O10</f>
        <v>4</v>
      </c>
      <c r="M84" s="530" t="n">
        <f aca="false">O11</f>
        <v>12</v>
      </c>
      <c r="N84" s="529" t="n">
        <f aca="false">P8</f>
        <v>1.33333333333333</v>
      </c>
      <c r="O84" s="529" t="n">
        <f aca="false">P9</f>
        <v>0.471404520791032</v>
      </c>
      <c r="P84" s="530" t="n">
        <f aca="false">P10</f>
        <v>1</v>
      </c>
      <c r="Q84" s="530" t="n">
        <f aca="false">P11</f>
        <v>2</v>
      </c>
      <c r="R84" s="530" t="n">
        <f aca="false">F21</f>
        <v>0.1612</v>
      </c>
      <c r="S84" s="530" t="n">
        <f aca="false">L11</f>
        <v>0</v>
      </c>
      <c r="T84" s="530" t="n">
        <f aca="false">L12</f>
        <v>2</v>
      </c>
      <c r="U84" s="530" t="n">
        <f aca="false">L13</f>
        <v>4</v>
      </c>
      <c r="V84" s="531" t="n">
        <f aca="false">L15</f>
        <v>1</v>
      </c>
      <c r="W84" s="532" t="n">
        <f aca="false">L15</f>
        <v>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12</v>
      </c>
      <c r="U87" s="281"/>
      <c r="V87" s="281"/>
    </row>
    <row r="88" customFormat="false" ht="12.75" hidden="true" customHeight="false" outlineLevel="0" collapsed="false">
      <c r="C88" s="534"/>
      <c r="D88" s="534"/>
      <c r="E88" s="534"/>
      <c r="R88" s="281" t="s">
        <v>3453</v>
      </c>
      <c r="S88" s="281"/>
      <c r="T88" s="536" t="n">
        <f aca="false">VLOOKUP($T$91,($A$23:$U$82),21,0)</f>
        <v>24</v>
      </c>
      <c r="U88" s="281"/>
      <c r="V88" s="281" t="n">
        <f aca="false">COUNTIF(V23:V82,T89)</f>
        <v>2</v>
      </c>
    </row>
    <row r="89" customFormat="false" ht="12.75" hidden="true" customHeight="false" outlineLevel="0" collapsed="false">
      <c r="C89" s="534"/>
      <c r="D89" s="534"/>
      <c r="E89" s="534"/>
      <c r="R89" s="281" t="s">
        <v>3454</v>
      </c>
      <c r="S89" s="281"/>
      <c r="T89" s="536" t="n">
        <f aca="false">MAX($V$23:$V$82)</f>
        <v>2</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7</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FISCRA</v>
      </c>
      <c r="U91" s="281" t="n">
        <f aca="false">IF(ISERROR(MATCH($T$93,'liste reference'!$A$6:$A$1174,0)),MATCH($T$93,'liste reference'!$B$6:$B$1174,0),(MATCH($T$93,'liste reference'!$A$6:$A$1174,0)))</f>
        <v>255</v>
      </c>
      <c r="V91" s="538"/>
    </row>
    <row r="92" customFormat="false" ht="12.75" hidden="true" customHeight="false" outlineLevel="0" collapsed="false">
      <c r="C92" s="534"/>
      <c r="D92" s="534"/>
      <c r="E92" s="534"/>
      <c r="R92" s="281" t="s">
        <v>3457</v>
      </c>
      <c r="S92" s="281"/>
      <c r="T92" s="281" t="n">
        <f aca="false">MATCH(T89,$V$23:$V$82,0)</f>
        <v>4</v>
      </c>
      <c r="U92" s="281"/>
    </row>
    <row r="93" customFormat="false" ht="12.75" hidden="true" customHeight="false" outlineLevel="0" collapsed="false">
      <c r="C93" s="534"/>
      <c r="D93" s="534"/>
      <c r="E93" s="534"/>
      <c r="R93" s="485" t="s">
        <v>3458</v>
      </c>
      <c r="S93" s="281"/>
      <c r="T93" s="485" t="str">
        <f aca="false">INDEX($A$23:$A$82,$T$92)</f>
        <v>FISCRA</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3479</v>
      </c>
      <c r="G20" s="8"/>
      <c r="H20" s="575" t="s">
        <v>3479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3487</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3488</v>
      </c>
    </row>
    <row r="37" customFormat="false" ht="15" hidden="false" customHeight="false" outlineLevel="0" collapsed="false">
      <c r="A37" s="563"/>
      <c r="B37" s="566" t="s">
        <v>2979</v>
      </c>
      <c r="C37" s="567"/>
      <c r="D37" s="568"/>
      <c r="F37" s="581" t="s">
        <v>3404</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3489</v>
      </c>
    </row>
    <row r="40" customFormat="false" ht="15" hidden="false" customHeight="false" outlineLevel="0" collapsed="false">
      <c r="A40" s="563"/>
      <c r="B40" s="566" t="s">
        <v>624</v>
      </c>
      <c r="C40" s="567"/>
      <c r="D40" s="568"/>
      <c r="F40" s="583" t="s">
        <v>3490</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3491</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3492</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3493</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3494</v>
      </c>
    </row>
    <row r="1188" customFormat="false" ht="15" hidden="false" customHeight="false" outlineLevel="0" collapsed="false">
      <c r="A1188" s="563"/>
      <c r="B1188" s="566" t="s">
        <v>3495</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3496</v>
      </c>
    </row>
    <row r="1229" customFormat="false" ht="15" hidden="false" customHeight="false" outlineLevel="0" collapsed="false">
      <c r="A1229" s="563"/>
      <c r="B1229" s="566" t="s">
        <v>3497</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2016-12-22T16:36:05Z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