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Arc-Berr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'Arc-Berre'!$A$1:$O$82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<sst xmlns="http://schemas.openxmlformats.org/spreadsheetml/2006/main" count="209" uniqueCount="93">
  <si>
    <t>Relevés floristiques aquatiques - IBMR</t>
  </si>
  <si>
    <t>GIS Macrophytes - juillet 2006</t>
  </si>
  <si>
    <t>Asconit</t>
  </si>
  <si>
    <t>AFA</t>
  </si>
  <si>
    <t>conforme AFNOR T90-395 oct. 2003</t>
  </si>
  <si>
    <t>Arc</t>
  </si>
  <si>
    <t>Berre l'étang</t>
  </si>
  <si>
    <t>06195500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</si>
  <si>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</si>
  <si>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</si>
  <si>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</si>
  <si>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</si>
  <si>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</si>
  <si>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</si>
  <si>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</si>
  <si>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</si>
  <si>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</si>
  <si>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</si>
  <si>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</si>
  <si>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</si>
  <si>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</si>
  <si>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</si>
  <si>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</si>
  <si>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</si>
  <si>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</si>
  <si>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</si>
  <si>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</si>
  <si>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</si>
  <si>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</si>
  <si>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</si>
  <si>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</si>
  <si>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</si>
  <si>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</si>
  <si>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</si>
  <si>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</si>
  <si>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</si>
  <si>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</si>
  <si>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</si>
  <si>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</si>
  <si>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</si>
  <si>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</si>
  <si>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</si>
  <si>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</si>
  <si>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</si>
  <si>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</si>
  <si>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</si>
  <si>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</si>
  <si>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</si>
  <si>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</si>
  <si>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</si>
  <si>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</si>
  <si>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</si>
  <si>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</si>
  <si>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</si>
  <si>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</si>
  <si>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</si>
  <si>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</si>
  <si>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</si>
  <si>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</si>
  <si>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</si>
  <si>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</si>
  <si>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</si>
  <si>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</si>
  <si>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</si>
  <si>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</si>
  <si>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</si>
  <si>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</si>
  <si>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</si>
  <si>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</si>
  <si>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</si>
  <si>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</si>
  <si>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</si>
  <si>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</si>
  <si>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MEL.SPX</t>
  </si>
  <si>
    <t>CLA.SPX</t>
  </si>
  <si>
    <t>VAU.SPX</t>
  </si>
  <si>
    <t>AMB.RIP</t>
  </si>
  <si>
    <t>LEM.MIN</t>
  </si>
  <si>
    <t>PHA.ARU</t>
  </si>
  <si>
    <t>POT.PEC</t>
  </si>
  <si>
    <t>API.REP</t>
  </si>
  <si>
    <t>VER.ANA</t>
  </si>
  <si>
    <t>NAS.OFF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</si>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</sst>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7" borderId="32" xfId="0" applyNumberFormat="1" applyFont="1" applyFill="1" applyBorder="1" applyAlignment="1" applyProtection="1">
      <alignment horizontal="right" vertical="top"/>
      <protection hidden="1"/>
    </xf>
    <xf numFmtId="2" fontId="30" fillId="17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7" borderId="38" xfId="0" applyFont="1" applyFill="1" applyBorder="1" applyAlignment="1" applyProtection="1">
      <alignment horizontal="left"/>
      <protection hidden="1"/>
    </xf>
    <xf numFmtId="0" fontId="24" fillId="17" borderId="39" xfId="0" applyFont="1" applyFill="1" applyBorder="1" applyAlignment="1" applyProtection="1">
      <alignment horizontal="right" vertical="top"/>
      <protection hidden="1"/>
    </xf>
    <xf numFmtId="0" fontId="33" fillId="17" borderId="40" xfId="0" applyFont="1" applyFill="1" applyBorder="1" applyAlignment="1" applyProtection="1">
      <alignment horizontal="center" vertical="top"/>
      <protection hidden="1"/>
    </xf>
    <xf numFmtId="0" fontId="33" fillId="17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Nartuby-Trans-Prov"/>
      <sheetName val="Gapeau-Hyeres"/>
      <sheetName val="Jabron-Comps"/>
      <sheetName val="Arc-Aix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4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5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2" sqref="A2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40015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7.458333333333333</v>
      </c>
      <c r="M5" s="51"/>
      <c r="N5" s="52" t="s">
        <v>15</v>
      </c>
      <c r="O5" s="53">
        <v>6.55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8.1</v>
      </c>
      <c r="O8" s="84">
        <f>AVERAGE(J23:J82)</f>
        <v>1.4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3.5103022978402043</v>
      </c>
      <c r="O9" s="84">
        <f>STDEV(J23:J82)</f>
        <v>0.5163977794943221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2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12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1.5</v>
      </c>
      <c r="C12" s="120"/>
      <c r="D12" s="111"/>
      <c r="E12" s="111"/>
      <c r="F12" s="112">
        <f t="shared" si="0"/>
        <v>1.5</v>
      </c>
      <c r="G12" s="121"/>
      <c r="H12" s="67"/>
      <c r="I12" s="122" t="s">
        <v>36</v>
      </c>
      <c r="J12" s="123"/>
      <c r="K12" s="116">
        <f>COUNTIF($G$23:$G$82,"=ALG")</f>
        <v>4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0.14</v>
      </c>
      <c r="C13" s="120"/>
      <c r="D13" s="111"/>
      <c r="E13" s="111"/>
      <c r="F13" s="112">
        <f t="shared" si="0"/>
        <v>0.14</v>
      </c>
      <c r="G13" s="121"/>
      <c r="H13" s="67"/>
      <c r="I13" s="128" t="s">
        <v>38</v>
      </c>
      <c r="J13" s="123"/>
      <c r="K13" s="116">
        <f>COUNTIF($G$23:$G$82,"=BRm")+COUNTIF($G$23:$G$82,"=BRh")</f>
        <v>1</v>
      </c>
      <c r="L13" s="117"/>
      <c r="M13" s="129" t="s">
        <v>39</v>
      </c>
      <c r="N13" s="130">
        <f>COUNTIF(F23:F82,"&gt;0")</f>
        <v>11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</v>
      </c>
      <c r="C14" s="120"/>
      <c r="D14" s="111"/>
      <c r="E14" s="111"/>
      <c r="F14" s="112">
        <f t="shared" si="0"/>
        <v>0</v>
      </c>
      <c r="G14" s="121"/>
      <c r="H14" s="67"/>
      <c r="I14" s="128" t="s">
        <v>41</v>
      </c>
      <c r="J14" s="123"/>
      <c r="K14" s="116">
        <f>COUNTIF($G$23:$G$82,"=PTE")</f>
        <v>0</v>
      </c>
      <c r="L14" s="117"/>
      <c r="M14" s="132" t="s">
        <v>42</v>
      </c>
      <c r="N14" s="133">
        <f>COUNTIF($I$23:$I$82,"&gt;-1")</f>
        <v>10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0.63</v>
      </c>
      <c r="C15" s="137"/>
      <c r="D15" s="111"/>
      <c r="E15" s="111"/>
      <c r="F15" s="112">
        <f t="shared" si="0"/>
        <v>0.63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6</v>
      </c>
      <c r="L15" s="117"/>
      <c r="M15" s="138" t="s">
        <v>45</v>
      </c>
      <c r="N15" s="139">
        <f>COUNTIF(J23:J82,"=1")</f>
        <v>6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0.43</v>
      </c>
      <c r="C16" s="110"/>
      <c r="D16" s="141"/>
      <c r="E16" s="141"/>
      <c r="F16" s="142"/>
      <c r="G16" s="142">
        <f t="shared" si="0"/>
        <v>0.43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4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1.78</v>
      </c>
      <c r="C17" s="120"/>
      <c r="D17" s="111"/>
      <c r="E17" s="111"/>
      <c r="F17" s="145"/>
      <c r="G17" s="112">
        <f t="shared" si="0"/>
        <v>1.78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0.06</v>
      </c>
      <c r="C18" s="149"/>
      <c r="D18" s="111"/>
      <c r="E18" s="150" t="s">
        <v>51</v>
      </c>
      <c r="F18" s="145"/>
      <c r="G18" s="112">
        <f t="shared" si="0"/>
        <v>0.06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2.27</v>
      </c>
      <c r="G19" s="158">
        <f>SUM(G16:G18)</f>
        <v>2.27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92</v>
      </c>
      <c r="B20" s="166">
        <f>SUM(B23:B82)</f>
        <v>2.2699999999999996</v>
      </c>
      <c r="C20" s="167">
        <f>SUM(C23:C82)</f>
        <v>0</v>
      </c>
      <c r="D20" s="168"/>
      <c r="E20" s="169" t="s">
        <v>51</v>
      </c>
      <c r="F20" s="170">
        <f>($B20*$B$7+$C20*$C$7)/100</f>
        <v>2.2699999999999996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2.2699999999999996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2.2699999999999996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0.25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Melosira sp.</v>
      </c>
      <c r="E23" s="205" t="e">
        <f>IF(D23="",,VLOOKUP(D23,D$22:D22,1,0))</f>
        <v>#N/A</v>
      </c>
      <c r="F23" s="206">
        <f aca="true" t="shared" si="1" ref="F23:F82">($B23*$B$7+$C23*$C$7)/100</f>
        <v>0.25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10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Melosira sp.</v>
      </c>
      <c r="L23" s="212"/>
      <c r="M23" s="212"/>
      <c r="N23" s="212"/>
      <c r="O23" s="213"/>
      <c r="P23" s="214">
        <f aca="true" t="shared" si="2" ref="P23:P82">IF(ISTEXT(H23),"",(B23*$B$7/100)+(C23*$C$7/100))</f>
        <v>0.25</v>
      </c>
      <c r="Q23" s="215">
        <f>IF(OR(ISTEXT(H23),P23=0),"",IF(P23&lt;0.1,1,IF(P23&lt;1,2,IF(P23&lt;10,3,IF(P23&lt;50,4,IF(P23&gt;=50,5,""))))))</f>
        <v>2</v>
      </c>
      <c r="R23" s="215">
        <f aca="true" t="shared" si="3" ref="R23:R82">IF(ISERROR(Q23*I23),0,Q23*I23)</f>
        <v>20</v>
      </c>
      <c r="S23" s="215">
        <f aca="true" t="shared" si="4" ref="S23:S82">IF(ISERROR(Q23*I23*J23),0,Q23*I23*J23)</f>
        <v>20</v>
      </c>
      <c r="T23" s="215">
        <f aca="true" t="shared" si="5" ref="T23:T82">IF(ISERROR(Q23*J23),0,Q23*J23)</f>
        <v>2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MEL.SPX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37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15</v>
      </c>
      <c r="B24" s="222">
        <v>0.25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Diatoma sp.</v>
      </c>
      <c r="E24" s="224" t="e">
        <f>IF(D24="",,VLOOKUP(D24,D$22:D23,1,0))</f>
        <v>#N/A</v>
      </c>
      <c r="F24" s="225">
        <f t="shared" si="1"/>
        <v>0.25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12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Diatoma sp.</v>
      </c>
      <c r="L24" s="229"/>
      <c r="M24" s="229"/>
      <c r="N24" s="229"/>
      <c r="O24" s="213"/>
      <c r="P24" s="214">
        <f t="shared" si="2"/>
        <v>0.25</v>
      </c>
      <c r="Q24" s="215">
        <f aca="true" t="shared" si="8" ref="Q24:Q82">IF(OR(ISTEXT(H24),P24=0),"",IF(P24&lt;0.1,1,IF(P24&lt;1,2,IF(P24&lt;10,3,IF(P24&lt;50,4,IF(P24&gt;=50,5,""))))))</f>
        <v>2</v>
      </c>
      <c r="R24" s="215">
        <f t="shared" si="3"/>
        <v>24</v>
      </c>
      <c r="S24" s="215">
        <f t="shared" si="4"/>
        <v>48</v>
      </c>
      <c r="T24" s="230">
        <f t="shared" si="5"/>
        <v>4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DIA.SPX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27</v>
      </c>
      <c r="Z24" s="219"/>
      <c r="AA24" s="220"/>
      <c r="BB24" s="7">
        <f t="shared" si="7"/>
        <v>1</v>
      </c>
    </row>
    <row r="25" spans="1:54" ht="12.75">
      <c r="A25" s="221" t="s">
        <v>74</v>
      </c>
      <c r="B25" s="222">
        <v>0.5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Cladophora sp. </v>
      </c>
      <c r="E25" s="224" t="e">
        <f>IF(D25="",,VLOOKUP(D25,D$22:D24,1,0))</f>
        <v>#N/A</v>
      </c>
      <c r="F25" s="225">
        <f t="shared" si="1"/>
        <v>0.5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6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Cladophora sp. </v>
      </c>
      <c r="L25" s="229"/>
      <c r="M25" s="229"/>
      <c r="N25" s="229"/>
      <c r="O25" s="213"/>
      <c r="P25" s="214">
        <f t="shared" si="2"/>
        <v>0.5</v>
      </c>
      <c r="Q25" s="215">
        <f t="shared" si="8"/>
        <v>2</v>
      </c>
      <c r="R25" s="215">
        <f t="shared" si="3"/>
        <v>12</v>
      </c>
      <c r="S25" s="215">
        <f t="shared" si="4"/>
        <v>12</v>
      </c>
      <c r="T25" s="230">
        <f t="shared" si="5"/>
        <v>2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CLA.SPX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24</v>
      </c>
      <c r="Z25" s="219"/>
      <c r="AA25" s="220"/>
      <c r="BB25" s="7">
        <f t="shared" si="7"/>
        <v>1</v>
      </c>
    </row>
    <row r="26" spans="1:54" ht="12.75">
      <c r="A26" s="221" t="s">
        <v>75</v>
      </c>
      <c r="B26" s="222">
        <v>0.5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Vaucheria sp.</v>
      </c>
      <c r="E26" s="224" t="e">
        <f>IF(D26="",,VLOOKUP(D26,D$22:D25,1,0))</f>
        <v>#N/A</v>
      </c>
      <c r="F26" s="225">
        <f t="shared" si="1"/>
        <v>0.5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4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Vaucheria sp.</v>
      </c>
      <c r="L26" s="229"/>
      <c r="M26" s="229"/>
      <c r="N26" s="229"/>
      <c r="O26" s="213"/>
      <c r="P26" s="214">
        <f>IF(ISTEXT(H26),"",(B26*$B$7/100)+(C26*$C$7/100))</f>
        <v>0.5</v>
      </c>
      <c r="Q26" s="215">
        <f t="shared" si="8"/>
        <v>2</v>
      </c>
      <c r="R26" s="215">
        <f>IF(ISERROR(Q26*I26),0,Q26*I26)</f>
        <v>8</v>
      </c>
      <c r="S26" s="215">
        <f>IF(ISERROR(Q26*I26*J26),0,Q26*I26*J26)</f>
        <v>8</v>
      </c>
      <c r="T26" s="230">
        <f>IF(ISERROR(Q26*J26),0,Q26*J26)</f>
        <v>2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VAU.SPX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83</v>
      </c>
      <c r="Z26" s="219"/>
      <c r="AA26" s="220"/>
      <c r="BB26" s="7">
        <f t="shared" si="7"/>
        <v>1</v>
      </c>
    </row>
    <row r="27" spans="1:54" ht="12.75">
      <c r="A27" s="221" t="s">
        <v>76</v>
      </c>
      <c r="B27" s="222">
        <v>0.14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Amblystegium riparium (Leptodictyum riparium)</v>
      </c>
      <c r="E27" s="224" t="e">
        <f>IF(D27="",,VLOOKUP(D27,D$22:D26,1,0))</f>
        <v>#N/A</v>
      </c>
      <c r="F27" s="225">
        <f t="shared" si="1"/>
        <v>0.14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BRm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5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5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Amblystegium riparium (Leptodictyum riparium)</v>
      </c>
      <c r="L27" s="229"/>
      <c r="M27" s="229"/>
      <c r="N27" s="229"/>
      <c r="O27" s="213"/>
      <c r="P27" s="214">
        <f t="shared" si="2"/>
        <v>0.14</v>
      </c>
      <c r="Q27" s="215">
        <f t="shared" si="8"/>
        <v>2</v>
      </c>
      <c r="R27" s="215">
        <f t="shared" si="3"/>
        <v>10</v>
      </c>
      <c r="S27" s="215">
        <f t="shared" si="4"/>
        <v>20</v>
      </c>
      <c r="T27" s="230">
        <f t="shared" si="5"/>
        <v>4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AMB.RIP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149</v>
      </c>
      <c r="Z27" s="219"/>
      <c r="AA27" s="220"/>
      <c r="BB27" s="7">
        <f t="shared" si="7"/>
        <v>1</v>
      </c>
    </row>
    <row r="28" spans="1:54" ht="12.75">
      <c r="A28" s="221" t="s">
        <v>77</v>
      </c>
      <c r="B28" s="222">
        <v>0.43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Lemna minor</v>
      </c>
      <c r="E28" s="224" t="e">
        <f>IF(D28="",,VLOOKUP(D28,D$22:D27,1,0))</f>
        <v>#N/A</v>
      </c>
      <c r="F28" s="225">
        <f t="shared" si="1"/>
        <v>0.43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PHy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7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10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Lemna minor</v>
      </c>
      <c r="L28" s="229"/>
      <c r="M28" s="229"/>
      <c r="N28" s="229"/>
      <c r="O28" s="213"/>
      <c r="P28" s="214">
        <f t="shared" si="2"/>
        <v>0.43</v>
      </c>
      <c r="Q28" s="215">
        <f t="shared" si="8"/>
        <v>2</v>
      </c>
      <c r="R28" s="215">
        <f t="shared" si="3"/>
        <v>20</v>
      </c>
      <c r="S28" s="215">
        <f t="shared" si="4"/>
        <v>20</v>
      </c>
      <c r="T28" s="230">
        <f t="shared" si="5"/>
        <v>2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LEM.MIN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361</v>
      </c>
      <c r="Z28" s="219"/>
      <c r="AA28" s="220"/>
      <c r="BB28" s="7">
        <f t="shared" si="7"/>
        <v>1</v>
      </c>
    </row>
    <row r="29" spans="1:54" ht="12.75">
      <c r="A29" s="221" t="s">
        <v>78</v>
      </c>
      <c r="B29" s="222">
        <v>0.03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Phalaris arundinacea</v>
      </c>
      <c r="E29" s="224" t="e">
        <f>IF(D29="",,VLOOKUP(D29,D$22:D28,1,0))</f>
        <v>#N/A</v>
      </c>
      <c r="F29" s="225">
        <f t="shared" si="1"/>
        <v>0.03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PHe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8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10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1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Phalaris arundinacea</v>
      </c>
      <c r="L29" s="229"/>
      <c r="M29" s="229"/>
      <c r="N29" s="229"/>
      <c r="O29" s="213"/>
      <c r="P29" s="214">
        <f>IF(ISTEXT(H29),"",(B29*$B$7/100)+(C29*$C$7/100))</f>
        <v>0.03</v>
      </c>
      <c r="Q29" s="215">
        <f t="shared" si="8"/>
        <v>1</v>
      </c>
      <c r="R29" s="215">
        <f>IF(ISERROR(Q29*I29),0,Q29*I29)</f>
        <v>10</v>
      </c>
      <c r="S29" s="215">
        <f>IF(ISERROR(Q29*I29*J29),0,Q29*I29*J29)</f>
        <v>10</v>
      </c>
      <c r="T29" s="230">
        <f>IF(ISERROR(Q29*J29),0,Q29*J29)</f>
        <v>1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PHA.ARU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640</v>
      </c>
      <c r="Z29" s="219"/>
      <c r="AA29" s="220"/>
      <c r="BB29" s="7">
        <f t="shared" si="7"/>
        <v>1</v>
      </c>
    </row>
    <row r="30" spans="1:54" ht="12.75">
      <c r="A30" s="221" t="s">
        <v>79</v>
      </c>
      <c r="B30" s="222">
        <v>0.14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Potamogeton pectinatus    </v>
      </c>
      <c r="E30" s="224" t="e">
        <f>IF(D30="",,VLOOKUP(D30,D$22:D29,1,0))</f>
        <v>#N/A</v>
      </c>
      <c r="F30" s="225">
        <f t="shared" si="1"/>
        <v>0.14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PHy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7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2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Potamogeton pectinatus    </v>
      </c>
      <c r="L30" s="229"/>
      <c r="M30" s="229"/>
      <c r="N30" s="229"/>
      <c r="O30" s="213"/>
      <c r="P30" s="214">
        <f t="shared" si="2"/>
        <v>0.14</v>
      </c>
      <c r="Q30" s="215">
        <f t="shared" si="8"/>
        <v>2</v>
      </c>
      <c r="R30" s="215">
        <f t="shared" si="3"/>
        <v>4</v>
      </c>
      <c r="S30" s="215">
        <f t="shared" si="4"/>
        <v>8</v>
      </c>
      <c r="T30" s="230">
        <f t="shared" si="5"/>
        <v>4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POT.PEC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425</v>
      </c>
      <c r="Z30" s="219"/>
      <c r="AA30" s="220"/>
      <c r="BB30" s="7">
        <f t="shared" si="7"/>
        <v>1</v>
      </c>
    </row>
    <row r="31" spans="1:54" ht="12.75">
      <c r="A31" s="221" t="s">
        <v>80</v>
      </c>
      <c r="B31" s="222">
        <v>0.01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Apium repens</v>
      </c>
      <c r="E31" s="224" t="e">
        <f>IF(D31="",,VLOOKUP(D31,D$21:D30,1,0))</f>
        <v>#N/A</v>
      </c>
      <c r="F31" s="225">
        <f t="shared" si="1"/>
        <v>0.01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Apium repens</v>
      </c>
      <c r="L31" s="229"/>
      <c r="M31" s="229"/>
      <c r="N31" s="229"/>
      <c r="O31" s="213"/>
      <c r="P31" s="214">
        <f t="shared" si="2"/>
        <v>0.01</v>
      </c>
      <c r="Q31" s="215">
        <f t="shared" si="8"/>
        <v>1</v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API.REP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525</v>
      </c>
      <c r="Z31" s="219"/>
      <c r="AA31" s="220"/>
      <c r="BB31" s="7">
        <f t="shared" si="7"/>
        <v>1</v>
      </c>
    </row>
    <row r="32" spans="1:54" ht="12.75">
      <c r="A32" s="221" t="s">
        <v>81</v>
      </c>
      <c r="B32" s="222">
        <v>0.01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Veronica anagallis-aquatica</v>
      </c>
      <c r="E32" s="224" t="e">
        <f>IF(D32="",,VLOOKUP(D32,D$22:D31,1,0))</f>
        <v>#N/A</v>
      </c>
      <c r="F32" s="225">
        <f t="shared" si="1"/>
        <v>0.01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11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Veronica anagallis-aquatica</v>
      </c>
      <c r="L32" s="229"/>
      <c r="M32" s="229"/>
      <c r="N32" s="229"/>
      <c r="O32" s="213"/>
      <c r="P32" s="214">
        <f t="shared" si="2"/>
        <v>0.01</v>
      </c>
      <c r="Q32" s="215">
        <f t="shared" si="8"/>
        <v>1</v>
      </c>
      <c r="R32" s="215">
        <f t="shared" si="3"/>
        <v>11</v>
      </c>
      <c r="S32" s="215">
        <f t="shared" si="4"/>
        <v>22</v>
      </c>
      <c r="T32" s="230">
        <f t="shared" si="5"/>
        <v>2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VER.ANA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689</v>
      </c>
      <c r="Z32" s="219"/>
      <c r="AA32" s="220"/>
      <c r="BB32" s="7">
        <f t="shared" si="7"/>
        <v>1</v>
      </c>
    </row>
    <row r="33" spans="1:54" ht="12.75">
      <c r="A33" s="221" t="s">
        <v>82</v>
      </c>
      <c r="B33" s="222">
        <v>0.01</v>
      </c>
      <c r="C33" s="223"/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Nasturtium officinale (Rorippa nasturtium-aquaticum)</v>
      </c>
      <c r="E33" s="224" t="e">
        <f>IF(D33="",,VLOOKUP(D33,D$22:D32,1,0))</f>
        <v>#N/A</v>
      </c>
      <c r="F33" s="225">
        <f t="shared" si="1"/>
        <v>0.01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PHe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8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11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1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Nasturtium officinale (Rorippa nasturtium-aquaticum)</v>
      </c>
      <c r="L33" s="232"/>
      <c r="M33" s="232"/>
      <c r="N33" s="232"/>
      <c r="O33" s="233"/>
      <c r="P33" s="214">
        <f t="shared" si="2"/>
        <v>0.01</v>
      </c>
      <c r="Q33" s="215">
        <f t="shared" si="8"/>
        <v>1</v>
      </c>
      <c r="R33" s="215">
        <f t="shared" si="3"/>
        <v>11</v>
      </c>
      <c r="S33" s="215">
        <f t="shared" si="4"/>
        <v>11</v>
      </c>
      <c r="T33" s="230">
        <f t="shared" si="5"/>
        <v>1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NAS.OFF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634</v>
      </c>
      <c r="Z33" s="219"/>
      <c r="AA33" s="220"/>
      <c r="BB33" s="7">
        <f t="shared" si="7"/>
        <v>1</v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83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Arc</v>
      </c>
      <c r="B84" s="255" t="str">
        <f>C3</f>
        <v>Berre l'étang</v>
      </c>
      <c r="C84" s="256">
        <f>A4</f>
        <v>40015</v>
      </c>
      <c r="D84" s="257">
        <f>IF(ISERROR(SUM($S$23:$S$82)/SUM($T$23:$T$82)),"",SUM($S$23:$S$82)/SUM($T$23:$T$82))</f>
        <v>7.458333333333333</v>
      </c>
      <c r="E84" s="258">
        <f>N13</f>
        <v>11</v>
      </c>
      <c r="F84" s="255">
        <f>N14</f>
        <v>10</v>
      </c>
      <c r="G84" s="255">
        <f>N15</f>
        <v>6</v>
      </c>
      <c r="H84" s="255">
        <f>N16</f>
        <v>4</v>
      </c>
      <c r="I84" s="255">
        <f>N17</f>
        <v>0</v>
      </c>
      <c r="J84" s="259">
        <f>N8</f>
        <v>8.1</v>
      </c>
      <c r="K84" s="257">
        <f>N9</f>
        <v>3.5103022978402043</v>
      </c>
      <c r="L84" s="258">
        <f>N10</f>
        <v>2</v>
      </c>
      <c r="M84" s="258">
        <f>N11</f>
        <v>12</v>
      </c>
      <c r="N84" s="257">
        <f>O8</f>
        <v>1.4</v>
      </c>
      <c r="O84" s="257">
        <f>O9</f>
        <v>0.5163977794943221</v>
      </c>
      <c r="P84" s="258">
        <f>O10</f>
        <v>1</v>
      </c>
      <c r="Q84" s="258">
        <f>O11</f>
        <v>2</v>
      </c>
      <c r="R84" s="260">
        <f>F21</f>
        <v>2.2699999999999996</v>
      </c>
      <c r="S84" s="258">
        <f>K11</f>
        <v>0</v>
      </c>
      <c r="T84" s="258">
        <f>K12</f>
        <v>4</v>
      </c>
      <c r="U84" s="258">
        <f>K13</f>
        <v>1</v>
      </c>
      <c r="V84" s="261">
        <f>K14</f>
        <v>0</v>
      </c>
      <c r="W84" s="262">
        <f>K15</f>
        <v>6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84</v>
      </c>
      <c r="Q86" s="7"/>
      <c r="R86" s="216"/>
      <c r="S86" s="7"/>
      <c r="T86" s="7"/>
      <c r="U86" s="7"/>
    </row>
    <row r="87" spans="16:21" ht="12.75" hidden="1">
      <c r="P87" s="7" t="s">
        <v>85</v>
      </c>
      <c r="Q87" s="7"/>
      <c r="R87" s="216">
        <f>VLOOKUP(MAX($R$23:$R$82),($R$23:$T$82),1,0)</f>
        <v>24</v>
      </c>
      <c r="S87" s="7"/>
      <c r="T87" s="7"/>
      <c r="U87" s="7"/>
    </row>
    <row r="88" spans="16:21" ht="12.75" hidden="1">
      <c r="P88" s="7" t="s">
        <v>86</v>
      </c>
      <c r="Q88" s="7"/>
      <c r="R88" s="216">
        <f>VLOOKUP((R87),($R$23:$T$82),2,0)</f>
        <v>48</v>
      </c>
      <c r="S88" s="7"/>
      <c r="T88" s="7"/>
      <c r="U88" s="7"/>
    </row>
    <row r="89" spans="16:19" ht="12.75" hidden="1">
      <c r="P89" s="7" t="s">
        <v>87</v>
      </c>
      <c r="Q89" s="7"/>
      <c r="R89" s="216">
        <f>VLOOKUP((R87),($R$23:$T$82),3,0)</f>
        <v>4</v>
      </c>
      <c r="S89" s="7"/>
    </row>
    <row r="90" spans="16:19" ht="12.75" hidden="1">
      <c r="P90" s="7" t="s">
        <v>88</v>
      </c>
      <c r="Q90" s="7"/>
      <c r="R90" s="265">
        <f>IF(ISERROR(SUM($S$23:$S$82)/SUM($T$23:$T$82)),"",(SUM($S$23:$S$82)-R88)/(SUM($T$23:$T$82)-R89))</f>
        <v>6.55</v>
      </c>
      <c r="S90" s="7"/>
    </row>
    <row r="91" spans="16:20" ht="12.75" hidden="1">
      <c r="P91" s="215" t="s">
        <v>89</v>
      </c>
      <c r="Q91" s="215"/>
      <c r="R91" s="215" t="str">
        <f>INDEX('[1]liste reference'!$A$7:$A$906,$S$91)</f>
        <v>DIA.SPX</v>
      </c>
      <c r="S91" s="7">
        <f>IF(ISERROR(MATCH($R$93,'[1]liste reference'!$A$7:$A$906,0)),MATCH($R$93,'[1]liste reference'!$B$7:$B$906,0),(MATCH($R$93,'[1]liste reference'!$A$7:$A$906,0)))</f>
        <v>27</v>
      </c>
      <c r="T91" s="253"/>
    </row>
    <row r="92" spans="16:19" ht="12.75" hidden="1">
      <c r="P92" s="7" t="s">
        <v>90</v>
      </c>
      <c r="Q92" s="7"/>
      <c r="R92" s="7">
        <f>MATCH(R87,$R$23:$R$82,0)</f>
        <v>2</v>
      </c>
      <c r="S92" s="7"/>
    </row>
    <row r="93" spans="16:19" ht="12.75" hidden="1">
      <c r="P93" s="215" t="s">
        <v>91</v>
      </c>
      <c r="Q93" s="7"/>
      <c r="R93" s="215" t="str">
        <f>INDEX($A$23:$A$82,$R$92)</f>
        <v>DIA.SPX</v>
      </c>
      <c r="S93" s="7"/>
    </row>
    <row r="94" ht="12.75">
      <c r="R94" s="253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2013-10-22T13:32:39Z</dcterms:created>
  <dcterms:modified xsi:type="dcterms:W3CDTF">2013-10-22T13:32:49Z</dcterms:modified>
  <cp:category/>
  <cp:version/>
  <cp:contentType/>
  <cp:contentStatus/>
</cp:coreProperties>
</file>