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rc à Berre l'Etang" sheetId="7" state="visible" r:id="rId9"/>
    <sheet name="liste codes réf" sheetId="8" state="hidden" r:id="rId10"/>
  </sheets>
  <definedNames>
    <definedName function="false" hidden="false" localSheetId="6" name="_xlnm.Print_Area" vbProcedure="false">'Arc à Berre l''Etang'!$A$1:$Q$82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'Arc à Berre l''Etang'!$A$1:$C$1415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<sst xmlns="http://schemas.openxmlformats.org/spreadsheetml/2006/main" count="9994" uniqueCount="3494">
  <si>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</si>
  <si>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</si>
  <si>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</si>
  <si>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</si>
  <si>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</si>
  <si>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</si>
  <si>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</si>
  <si>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</si>
  <si>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</si>
  <si>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</si>
  <si>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</si>
  <si>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</si>
  <si>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</si>
  <si>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</si>
  <si>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</si>
  <si>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</si>
  <si>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</si>
  <si>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</si>
  <si>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</si>
  <si>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</si>
  <si>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</si>
  <si>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</si>
  <si>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</si>
  <si>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</si>
  <si>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</si>
  <si>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</si>
  <si>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</si>
  <si>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</si>
  <si>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</si>
  <si>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</si>
  <si>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</si>
  <si>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</si>
  <si>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</si>
  <si>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</si>
  <si>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</si>
  <si>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</si>
  <si>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</si>
  <si>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</si>
  <si>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</si>
  <si>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</si>
  <si>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</si>
  <si>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</si>
  <si>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</si>
  <si>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</si>
  <si>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</si>
  <si>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</si>
  <si>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</si>
  <si>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</si>
  <si>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</si>
  <si>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</si>
  <si>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</si>
  <si>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</si>
  <si>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</si>
  <si>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</si>
  <si>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</si>
  <si>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</si>
  <si>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</si>
  <si>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</si>
  <si>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</si>
  <si>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</si>
  <si>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</si>
  <si>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</si>
  <si>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</si>
  <si>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</si>
  <si>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</si>
  <si>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</si>
  <si>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</si>
  <si>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</si>
  <si>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</si>
  <si>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</si>
  <si>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</si>
  <si>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</si>
  <si>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</si>
  <si>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</si>
  <si>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</si>
  <si>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</si>
  <si>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</si>
  <si>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</si>
  <si>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</si>
  <si>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</si>
  <si>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</si>
  <si>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</si>
  <si>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</si>
  <si>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</si>
  <si>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</si>
  <si>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</si>
  <si>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</si>
  <si>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</si>
  <si>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</si>
  <si>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</si>
  <si>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</si>
  <si>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</si>
  <si>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</si>
  <si>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</si>
  <si>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</si>
  <si>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</si>
  <si>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</si>
  <si>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</si>
  <si>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</si>
  <si>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</si>
  <si>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</si>
  <si>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</si>
  <si>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</si>
  <si>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</si>
  <si>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</si>
  <si>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</si>
  <si>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</si>
  <si>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</si>
  <si>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</si>
  <si>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</si>
  <si>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</si>
  <si>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</si>
  <si>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</si>
  <si>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</si>
  <si>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</si>
  <si>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</si>
  <si>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</si>
  <si>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</si>
  <si>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</si>
  <si>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</si>
  <si>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</si>
  <si>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</si>
  <si>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</si>
  <si>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</si>
  <si>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</si>
  <si>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</si>
  <si>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</si>
  <si>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</si>
  <si>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</si>
  <si>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</si>
  <si>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</si>
  <si>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</si>
  <si>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</si>
  <si>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</si>
  <si>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</si>
  <si>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</si>
  <si>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</si>
  <si>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</si>
  <si>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</si>
  <si>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</si>
  <si>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</si>
  <si>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</si>
  <si>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</si>
  <si>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</si>
  <si>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</si>
  <si>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</si>
  <si>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</si>
  <si>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</si>
  <si>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</si>
  <si>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</si>
  <si>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</si>
  <si>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</si>
  <si>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</si>
  <si>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</si>
  <si>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</si>
  <si>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</si>
  <si>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</si>
  <si>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</si>
  <si>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</si>
  <si>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</si>
  <si>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</si>
  <si>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</si>
  <si>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</si>
  <si>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</si>
  <si>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</si>
  <si>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</si>
  <si>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</si>
  <si>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</si>
  <si>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</si>
  <si>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</si>
  <si>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</si>
  <si>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</si>
  <si>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</si>
  <si>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</si>
  <si>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</si>
  <si>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</si>
  <si>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</si>
  <si>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</si>
  <si>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</si>
  <si>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</si>
  <si>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</si>
  <si>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</si>
  <si>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</si>
  <si>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</si>
  <si>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</si>
  <si>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</si>
  <si>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</si>
  <si>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</si>
  <si>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</si>
  <si>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</si>
  <si>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</si>
  <si>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</si>
  <si>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</si>
  <si>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</si>
  <si>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</si>
  <si>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</si>
  <si>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</si>
  <si>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</si>
  <si>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</si>
  <si>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</si>
  <si>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</si>
  <si>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</si>
  <si>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</si>
  <si>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</si>
  <si>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</si>
  <si>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</si>
  <si>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</si>
  <si>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</si>
  <si>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</si>
  <si>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</si>
  <si>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</si>
  <si>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</si>
  <si>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</si>
  <si>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</si>
  <si>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</si>
  <si>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</si>
  <si>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</si>
  <si>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</si>
  <si>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</si>
  <si>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</si>
  <si>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</si>
  <si>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</si>
  <si>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</si>
  <si>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</si>
  <si>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</si>
  <si>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</si>
  <si>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</si>
  <si>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</si>
  <si>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</si>
  <si>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</si>
  <si>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</si>
  <si>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</si>
  <si>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</si>
  <si>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</si>
  <si>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</si>
  <si>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</si>
  <si>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</si>
  <si>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</si>
  <si>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</si>
  <si>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</si>
  <si>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</si>
  <si>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</si>
  <si>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</si>
  <si>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</si>
  <si>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</si>
  <si>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</si>
  <si>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</si>
  <si>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</si>
  <si>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</si>
  <si>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</si>
  <si>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</si>
  <si>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</si>
  <si>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</si>
  <si>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</si>
  <si>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</si>
  <si>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</si>
  <si>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</si>
  <si>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</si>
  <si>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</si>
  <si>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</si>
  <si>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</si>
  <si>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</si>
  <si>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</si>
  <si>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</si>
  <si>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</si>
  <si>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</si>
  <si>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</si>
  <si>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</si>
  <si>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</si>
  <si>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</si>
  <si>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</si>
  <si>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</si>
  <si>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</si>
  <si>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</si>
  <si>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</si>
  <si>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</si>
  <si>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</si>
  <si>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</si>
  <si>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</si>
  <si>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</si>
  <si>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</si>
  <si>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</si>
  <si>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</si>
  <si>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</si>
  <si>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</si>
  <si>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</si>
  <si>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</si>
  <si>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</si>
  <si>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</si>
  <si>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</si>
  <si>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</si>
  <si>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</si>
  <si>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</si>
  <si>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</si>
  <si>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</si>
  <si>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</si>
  <si>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</si>
  <si>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</si>
  <si>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</si>
  <si>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</si>
  <si>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</si>
  <si>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</si>
  <si>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</si>
  <si>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</si>
  <si>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</si>
  <si>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</si>
  <si>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</si>
  <si>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</si>
  <si>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</si>
  <si>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</si>
  <si>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</si>
  <si>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</si>
  <si>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</si>
  <si>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</si>
  <si>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</si>
  <si>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</si>
  <si>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</si>
  <si>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</si>
  <si>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</si>
  <si>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</si>
  <si>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</si>
  <si>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</si>
  <si>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</si>
  <si>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</si>
  <si>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</si>
  <si>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</si>
  <si>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</si>
  <si>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</si>
  <si>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</si>
  <si>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</si>
  <si>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</si>
  <si>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</si>
  <si>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</si>
  <si>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</si>
  <si>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</si>
  <si>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</si>
  <si>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</si>
  <si>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</si>
  <si>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</si>
  <si>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</si>
  <si>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</si>
  <si>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</si>
  <si>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</si>
  <si>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</si>
  <si>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</si>
  <si>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</si>
  <si>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</si>
  <si>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</si>
  <si>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</si>
  <si>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</si>
  <si>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</si>
  <si>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</si>
  <si>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</si>
  <si>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</si>
  <si>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</si>
  <si>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</si>
  <si>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</si>
  <si>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</si>
  <si>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</si>
  <si>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</si>
  <si>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</si>
  <si>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</si>
  <si>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</si>
  <si>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</si>
  <si>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</si>
  <si>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</si>
  <si>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</si>
  <si>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</si>
  <si>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</si>
  <si>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</si>
  <si>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</si>
  <si>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</si>
  <si>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</si>
  <si>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</si>
  <si>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</si>
  <si>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</si>
  <si>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</si>
  <si>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</si>
  <si>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</si>
  <si>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</si>
  <si>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</si>
  <si>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</si>
  <si>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</si>
  <si>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</si>
  <si>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</si>
  <si>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</si>
  <si>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</si>
  <si>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</si>
  <si>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</si>
  <si>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</si>
  <si>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</si>
  <si>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</si>
  <si>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</si>
  <si>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</si>
  <si>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</si>
  <si>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</si>
  <si>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</si>
  <si>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</si>
  <si>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</si>
  <si>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</si>
  <si>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</si>
  <si>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</si>
  <si>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</si>
  <si>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</si>
  <si>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</si>
  <si>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</si>
  <si>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</si>
  <si>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</si>
  <si>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</si>
  <si>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</si>
  <si>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</si>
  <si>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</si>
  <si>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</si>
  <si>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</si>
  <si>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</si>
  <si>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</si>
  <si>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</si>
  <si>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</si>
  <si>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</si>
  <si>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</si>
  <si>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</si>
  <si>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</si>
  <si>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</si>
  <si>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</si>
  <si>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</si>
  <si>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</si>
  <si>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</si>
  <si>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</si>
  <si>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</si>
  <si>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</si>
  <si>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</si>
  <si>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</si>
  <si>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</si>
  <si>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</si>
  <si>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</si>
  <si>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</si>
  <si>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</si>
  <si>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</si>
  <si>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</si>
  <si>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</si>
  <si>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</si>
  <si>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</si>
  <si>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</si>
  <si>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</si>
  <si>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</si>
  <si>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</si>
  <si>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</si>
  <si>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</si>
  <si>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</si>
  <si>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</si>
  <si>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</si>
  <si>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</si>
  <si>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</si>
  <si>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</si>
  <si>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</si>
  <si>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</si>
  <si>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</si>
  <si>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</si>
  <si>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</si>
  <si>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</si>
  <si>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</si>
  <si>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</si>
  <si>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</si>
  <si>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</si>
  <si>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</si>
  <si>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</si>
  <si>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</si>
  <si>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</si>
  <si>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</si>
  <si>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</si>
  <si>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</si>
  <si>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</si>
  <si>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</si>
  <si>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</si>
  <si>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</si>
  <si>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</si>
  <si>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</si>
  <si>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</si>
  <si>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</si>
  <si>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</si>
  <si>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</si>
  <si>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</si>
  <si>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</si>
  <si>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</si>
  <si>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</si>
  <si>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</si>
  <si>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</si>
  <si>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</si>
  <si>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</si>
  <si>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</si>
  <si>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</si>
  <si>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</si>
  <si>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</si>
  <si>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</si>
  <si>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</si>
  <si>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</si>
  <si>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</si>
  <si>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</si>
  <si>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</si>
  <si>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</si>
  <si>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</si>
  <si>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</si>
  <si>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</si>
  <si>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</si>
  <si>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</si>
  <si>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</si>
  <si>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</si>
  <si>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</si>
  <si>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</si>
  <si>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</si>
  <si>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</si>
  <si>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</si>
  <si>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</si>
  <si>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</si>
  <si>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</si>
  <si>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</si>
  <si>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</si>
  <si>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</si>
  <si>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</si>
  <si>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</si>
  <si>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</si>
  <si>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</si>
  <si>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</si>
  <si>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</si>
  <si>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</si>
  <si>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</si>
  <si>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</si>
  <si>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</si>
  <si>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</si>
  <si>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</si>
  <si>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</si>
  <si>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</si>
  <si>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</si>
  <si>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</si>
  <si>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</si>
  <si>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</si>
  <si>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</si>
  <si>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</si>
  <si>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</si>
  <si>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</si>
  <si>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</si>
  <si>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</si>
  <si>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</si>
  <si>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</si>
  <si>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</si>
  <si>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</si>
  <si>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</si>
  <si>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</si>
  <si>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</si>
  <si>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</si>
  <si>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</si>
  <si>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</si>
  <si>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</si>
  <si>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</si>
  <si>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</si>
  <si>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</si>
  <si>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</si>
  <si>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</si>
  <si>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</si>
  <si>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</si>
  <si>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</si>
  <si>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</si>
  <si>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</si>
  <si>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</si>
  <si>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</si>
  <si>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</si>
  <si>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</si>
  <si>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</si>
  <si>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</si>
  <si>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</si>
  <si>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</si>
  <si>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</si>
  <si>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</si>
  <si>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</si>
  <si>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</si>
  <si>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</si>
  <si>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</si>
  <si>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</si>
  <si>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</si>
  <si>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</si>
  <si>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</si>
  <si>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</si>
  <si>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</si>
  <si>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</si>
  <si>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</si>
  <si>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</si>
  <si>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</si>
  <si>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</si>
  <si>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</si>
  <si>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</si>
  <si>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</si>
  <si>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</si>
  <si>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</si>
  <si>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</si>
  <si>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</si>
  <si>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</si>
  <si>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</si>
  <si>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</si>
  <si>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</si>
  <si>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</si>
  <si>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</si>
  <si>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</si>
  <si>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</si>
  <si>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</si>
  <si>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</si>
  <si>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</si>
  <si>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</si>
  <si>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</si>
  <si>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</si>
  <si>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</si>
  <si>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</si>
  <si>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</si>
  <si>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</si>
  <si>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</si>
  <si>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</si>
  <si>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</si>
  <si>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</si>
  <si>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</si>
  <si>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</si>
  <si>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</si>
  <si>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</si>
  <si>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</si>
  <si>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</si>
  <si>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</si>
  <si>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</si>
  <si>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</si>
  <si>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</si>
  <si>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</si>
  <si>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</si>
  <si>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</si>
  <si>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</si>
  <si>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</si>
  <si>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</si>
  <si>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</si>
  <si>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</si>
  <si>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</si>
  <si>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</si>
  <si>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</si>
  <si>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</si>
  <si>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</si>
  <si>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</si>
  <si>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</si>
  <si>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</si>
  <si>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</si>
  <si>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</si>
  <si>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</si>
  <si>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</si>
  <si>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</si>
  <si>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</si>
  <si>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</si>
  <si>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</si>
  <si>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</si>
  <si>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</si>
  <si>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</si>
  <si>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</si>
  <si>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</si>
  <si>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</si>
  <si>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</si>
  <si>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</si>
  <si>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</si>
  <si>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</si>
  <si>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</si>
  <si>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</si>
  <si>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</si>
  <si>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</si>
  <si>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</si>
  <si>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</si>
  <si>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</si>
  <si>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</si>
  <si>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</si>
  <si>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</si>
  <si>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</si>
  <si>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</si>
  <si>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</si>
  <si>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</si>
  <si>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</si>
  <si>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</si>
  <si>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</si>
  <si>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</si>
  <si>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</si>
  <si>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</si>
  <si>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</si>
  <si>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</si>
  <si>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</si>
  <si>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</si>
  <si>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</si>
  <si>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</si>
  <si>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</si>
  <si>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</si>
  <si>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</si>
  <si>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</si>
  <si>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</si>
  <si>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</si>
  <si>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</si>
  <si>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</si>
  <si>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</si>
  <si>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</si>
  <si>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</si>
  <si>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</si>
  <si>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</si>
  <si>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</si>
  <si>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</si>
  <si>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</si>
  <si>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</si>
  <si>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</si>
  <si>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</si>
  <si>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</si>
  <si>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</si>
  <si>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</si>
  <si>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</si>
  <si>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</si>
  <si>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</si>
  <si>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</si>
  <si>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</si>
  <si>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</si>
  <si>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</si>
  <si>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</si>
  <si>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</si>
  <si>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</si>
  <si>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</si>
  <si>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</si>
  <si>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</si>
  <si>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</si>
  <si>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</si>
  <si>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</si>
  <si>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</si>
  <si>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</si>
  <si>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</si>
  <si>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</si>
  <si>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</si>
  <si>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</si>
  <si>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</si>
  <si>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</si>
  <si>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</si>
  <si>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</si>
  <si>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</si>
  <si>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</si>
  <si>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</si>
  <si>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</si>
  <si>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</si>
  <si>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</si>
  <si>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</si>
  <si>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</si>
  <si>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</si>
  <si>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</si>
  <si>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</si>
  <si>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</si>
  <si>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</si>
  <si>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</si>
  <si>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</si>
  <si>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</si>
  <si>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</si>
  <si>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</si>
  <si>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</si>
  <si>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</si>
  <si>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</si>
  <si>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</si>
  <si>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</si>
  <si>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</si>
  <si>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</si>
  <si>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</si>
  <si>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</si>
  <si>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</si>
  <si>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</si>
  <si>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</si>
  <si>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</si>
  <si>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</si>
  <si>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</si>
  <si>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</si>
  <si>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</si>
  <si>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</si>
  <si>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</si>
  <si>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</si>
  <si>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</si>
  <si>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</si>
  <si>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</si>
  <si>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</si>
  <si>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</si>
  <si>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</si>
  <si>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</si>
  <si>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</si>
  <si>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</si>
  <si>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</si>
  <si>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</si>
  <si>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</si>
  <si>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</si>
  <si>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</si>
  <si>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</si>
  <si>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</si>
  <si>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</si>
  <si>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</si>
  <si>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</si>
  <si>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</si>
  <si>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</si>
  <si>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</si>
  <si>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</si>
  <si>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</si>
  <si>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</si>
  <si>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</si>
  <si>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</si>
  <si>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</si>
  <si>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</si>
  <si>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</si>
  <si>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</si>
  <si>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</si>
  <si>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</si>
  <si>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</si>
  <si>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</si>
  <si>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</si>
  <si>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</si>
  <si>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</si>
  <si>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</si>
  <si>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</si>
  <si>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</si>
  <si>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</si>
  <si>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</si>
  <si>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</si>
  <si>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</si>
  <si>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</si>
  <si>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</si>
  <si>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</si>
  <si>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</si>
  <si>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</si>
  <si>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</si>
  <si>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</si>
  <si>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</si>
  <si>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</si>
  <si>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</si>
  <si>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</si>
  <si>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</si>
  <si>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</si>
  <si>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</si>
  <si>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</si>
  <si>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</si>
  <si>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</si>
  <si>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</si>
  <si>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</si>
  <si>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</si>
  <si>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</si>
  <si>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</si>
  <si>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</si>
  <si>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</si>
  <si>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</si>
  <si>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</si>
  <si>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</si>
  <si>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</si>
  <si>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</si>
  <si>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</si>
  <si>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</si>
  <si>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</si>
  <si>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</si>
  <si>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</si>
  <si>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</si>
  <si>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</si>
  <si>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</si>
  <si>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</si>
  <si>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</si>
  <si>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</si>
  <si>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</si>
  <si>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</si>
  <si>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</si>
  <si>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</si>
  <si>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</si>
  <si>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</si>
  <si>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</si>
  <si>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</si>
  <si>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</si>
  <si>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</si>
  <si>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</si>
  <si>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</si>
  <si>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</si>
  <si>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</si>
  <si>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</si>
  <si>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</si>
  <si>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</si>
  <si>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</si>
  <si>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</si>
  <si>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</si>
  <si>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</si>
  <si>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</si>
  <si>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</si>
  <si>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</si>
  <si>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</si>
  <si>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</si>
  <si>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</si>
  <si>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</si>
  <si>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</si>
  <si>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</si>
  <si>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</si>
  <si>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</si>
  <si>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</si>
  <si>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</si>
  <si>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</si>
  <si>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</si>
  <si>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</si>
  <si>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</si>
  <si>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</si>
  <si>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</si>
  <si>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</si>
  <si>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</si>
  <si>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</si>
  <si>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</si>
  <si>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</si>
  <si>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</si>
  <si>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</si>
  <si>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</si>
  <si>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</si>
  <si>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</si>
  <si>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</si>
  <si>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</si>
  <si>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</si>
  <si>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</si>
  <si>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</si>
  <si>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</si>
  <si>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</si>
  <si>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</si>
  <si>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</si>
  <si>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</si>
  <si>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</si>
  <si>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</si>
  <si>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</si>
  <si>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</si>
  <si>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</si>
  <si>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</si>
  <si>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</si>
  <si>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</si>
  <si>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</si>
  <si>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</si>
  <si>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</si>
  <si>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</si>
  <si>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</si>
  <si>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</si>
  <si>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</si>
  <si>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</si>
  <si>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</si>
  <si>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</si>
  <si>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</si>
  <si>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</si>
  <si>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</si>
  <si>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</si>
  <si>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</si>
  <si>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</si>
  <si>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</si>
  <si>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</si>
  <si>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</si>
  <si>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</si>
  <si>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</si>
  <si>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</si>
  <si>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</si>
  <si>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</si>
  <si>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</si>
  <si>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</si>
  <si>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</si>
  <si>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</si>
  <si>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</si>
  <si>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</si>
  <si>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</si>
  <si>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</si>
  <si>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</si>
  <si>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</si>
  <si>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</si>
  <si>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</si>
  <si>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</si>
  <si>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</si>
  <si>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</si>
  <si>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</si>
  <si>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</si>
  <si>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</si>
  <si>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</si>
  <si>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</si>
  <si>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</si>
  <si>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</si>
  <si>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</si>
  <si>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</si>
  <si>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</si>
  <si>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</si>
  <si>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</si>
  <si>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</si>
  <si>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</si>
  <si>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</si>
  <si>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</si>
  <si>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</si>
  <si>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</si>
  <si>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</si>
  <si>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</si>
  <si>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</si>
  <si>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</si>
  <si>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</si>
  <si>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</si>
  <si>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</si>
  <si>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</si>
  <si>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</si>
  <si>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</si>
  <si>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</si>
  <si>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</si>
  <si>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</si>
  <si>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</si>
  <si>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</si>
  <si>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</si>
  <si>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</si>
  <si>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</si>
  <si>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</si>
  <si>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</si>
  <si>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</si>
  <si>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</si>
  <si>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</si>
  <si>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</si>
  <si>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</si>
  <si>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</si>
  <si>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</si>
  <si>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</si>
  <si>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</si>
  <si>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</si>
  <si>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</si>
  <si>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</si>
  <si>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</si>
  <si>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</si>
  <si>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</si>
  <si>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</si>
  <si>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</si>
  <si>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</si>
  <si>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</si>
  <si>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</si>
  <si>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</si>
  <si>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</si>
  <si>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</si>
  <si>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</si>
  <si>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</si>
  <si>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</si>
  <si>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</si>
  <si>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</si>
  <si>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</si>
  <si>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</si>
  <si>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</si>
  <si>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</si>
  <si>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</si>
  <si>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</si>
  <si>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</si>
  <si>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</si>
  <si>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</si>
  <si>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</si>
  <si>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</si>
  <si>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</si>
  <si>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</si>
  <si>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</si>
  <si>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</si>
  <si>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</si>
  <si>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</si>
  <si>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</si>
  <si>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</si>
  <si>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</si>
  <si>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</si>
  <si>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</si>
  <si>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</si>
  <si>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</si>
  <si>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</si>
  <si>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</si>
  <si>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</si>
  <si>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</si>
  <si>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</si>
  <si>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</si>
  <si>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</si>
  <si>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</si>
  <si>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</si>
  <si>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</si>
  <si>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</si>
  <si>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</si>
  <si>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</si>
  <si>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</si>
  <si>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</si>
  <si>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</si>
  <si>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</si>
  <si>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</si>
  <si>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</si>
  <si>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</si>
  <si>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</si>
  <si>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</si>
  <si>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</si>
  <si>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</si>
  <si>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</si>
  <si>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</si>
  <si>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</si>
  <si>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</si>
  <si>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</si>
  <si>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</si>
  <si>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</si>
  <si>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</si>
  <si>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</si>
  <si>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</si>
  <si>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</si>
  <si>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</si>
  <si>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</si>
  <si>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</si>
  <si>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</si>
  <si>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</si>
  <si>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</si>
  <si>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</si>
  <si>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</si>
  <si>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</si>
  <si>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</si>
  <si>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</si>
  <si>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</si>
  <si>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</si>
  <si>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</si>
  <si>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</si>
  <si>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</si>
  <si>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</si>
  <si>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</si>
  <si>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</si>
  <si>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</si>
  <si>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</si>
  <si>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</si>
  <si>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</si>
  <si>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</si>
  <si>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</si>
  <si>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</si>
  <si>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</si>
  <si>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</si>
  <si>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</si>
  <si>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</si>
  <si>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</si>
  <si>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</si>
  <si>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</si>
  <si>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</si>
  <si>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</si>
  <si>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</si>
  <si>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</si>
  <si>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</si>
  <si>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</si>
  <si>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</si>
  <si>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</si>
  <si>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</si>
  <si>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</si>
  <si>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</si>
  <si>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</si>
  <si>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</si>
  <si>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</si>
  <si>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</si>
  <si>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</si>
  <si>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</si>
  <si>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</si>
  <si>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</si>
  <si>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</si>
  <si>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</si>
  <si>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</si>
  <si>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</si>
  <si>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</si>
  <si>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</si>
  <si>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</si>
  <si>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</si>
  <si>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</si>
  <si>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</si>
  <si>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</si>
  <si>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</si>
  <si>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</si>
  <si>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</si>
  <si>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</si>
  <si>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</si>
  <si>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</si>
  <si>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</si>
  <si>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</si>
  <si>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</si>
  <si>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</si>
  <si>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</si>
  <si>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</si>
  <si>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</si>
  <si>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</si>
  <si>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</si>
  <si>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</si>
  <si>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</si>
  <si>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</si>
  <si>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</si>
  <si>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</si>
  <si>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</si>
  <si>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</si>
  <si>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</si>
  <si>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</si>
  <si>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</si>
  <si>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</si>
  <si>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</si>
  <si>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</si>
  <si>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</si>
  <si>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</si>
  <si>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</si>
  <si>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</si>
  <si>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</si>
  <si>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</si>
  <si>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</si>
  <si>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</si>
  <si>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</si>
  <si>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</si>
  <si>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</si>
  <si>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</si>
  <si>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</si>
  <si>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</si>
  <si>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</si>
  <si>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</si>
  <si>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</si>
  <si>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</si>
  <si>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</si>
  <si>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</si>
  <si>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</si>
  <si>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</si>
  <si>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</si>
  <si>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</si>
  <si>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</si>
  <si>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</si>
  <si>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</si>
  <si>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</si>
  <si>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</si>
  <si>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</si>
  <si>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</si>
  <si>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</si>
  <si>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</si>
  <si>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</si>
  <si>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</si>
  <si>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</si>
  <si>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</si>
  <si>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</si>
  <si>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</si>
  <si>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</si>
  <si>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</si>
  <si>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</si>
  <si>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</si>
  <si>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</si>
  <si>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</si>
  <si>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</si>
  <si>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</si>
  <si>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</si>
  <si>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</si>
  <si>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</si>
  <si>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</si>
  <si>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</si>
  <si>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</si>
  <si>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</si>
  <si>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</si>
  <si>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</si>
  <si>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</si>
  <si>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</si>
  <si>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</si>
  <si>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</si>
  <si>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</si>
  <si>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</si>
  <si>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</si>
  <si>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</si>
  <si>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</si>
  <si>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</si>
  <si>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</si>
  <si>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</si>
  <si>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</si>
  <si>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</si>
  <si>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</si>
  <si>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</si>
  <si>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</si>
  <si>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</si>
  <si>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</si>
  <si>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</si>
  <si>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</si>
  <si>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</si>
  <si>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</si>
  <si>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</si>
  <si>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</si>
  <si>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</si>
  <si>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</si>
  <si>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</si>
  <si>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</si>
  <si>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</si>
  <si>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</si>
  <si>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</si>
  <si>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</si>
  <si>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</si>
  <si>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</si>
  <si>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</si>
  <si>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</si>
  <si>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</si>
  <si>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</si>
  <si>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</si>
  <si>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</si>
  <si>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</si>
  <si>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</si>
  <si>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</si>
  <si>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</si>
  <si>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</si>
  <si>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</si>
  <si>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</si>
  <si>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</si>
  <si>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</si>
  <si>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</si>
  <si>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</si>
  <si>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</si>
  <si>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</si>
  <si>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</si>
  <si>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</si>
  <si>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</si>
  <si>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</si>
  <si>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</si>
  <si>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</si>
  <si>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</si>
  <si>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</si>
  <si>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</si>
  <si>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</si>
  <si>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</si>
  <si>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</si>
  <si>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</si>
  <si>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</si>
  <si>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</si>
  <si>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</si>
  <si>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</si>
  <si>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</si>
  <si>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</si>
  <si>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</si>
  <si>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</si>
  <si>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</si>
  <si>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</si>
  <si>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</si>
  <si>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</si>
  <si>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</si>
  <si>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</si>
  <si>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</si>
  <si>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</si>
  <si>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</si>
  <si>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</si>
  <si>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</si>
  <si>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</si>
  <si>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</si>
  <si>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</si>
  <si>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</si>
  <si>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</si>
  <si>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</si>
  <si>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</si>
  <si>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</si>
  <si>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</si>
  <si>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</si>
  <si>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</si>
  <si>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</si>
  <si>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</si>
  <si>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</si>
  <si>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</si>
  <si>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</si>
  <si>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</si>
  <si>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</si>
  <si>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</si>
  <si>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</si>
  <si>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</si>
  <si>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</si>
  <si>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</si>
  <si>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</si>
  <si>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</si>
  <si>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</si>
  <si>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</si>
  <si>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</si>
  <si>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</si>
  <si>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</si>
  <si>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</si>
  <si>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</si>
  <si>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</si>
  <si>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</si>
  <si>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</si>
  <si>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</si>
  <si>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</si>
  <si>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</si>
  <si>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</si>
  <si>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</si>
  <si>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</si>
  <si>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</si>
  <si>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</si>
  <si>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</si>
  <si>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</si>
  <si>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</si>
  <si>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</si>
  <si>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</si>
  <si>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</si>
  <si>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</si>
  <si>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</si>
  <si>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</si>
  <si>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</si>
  <si>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</si>
  <si>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</si>
  <si>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</si>
  <si>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</si>
  <si>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</si>
  <si>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</si>
  <si>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</si>
  <si>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</si>
  <si>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</si>
  <si>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</si>
  <si>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</si>
  <si>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</si>
  <si>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</si>
  <si>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</si>
  <si>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</si>
  <si>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</si>
  <si>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</si>
  <si>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</si>
  <si>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</si>
  <si>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</si>
  <si>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</si>
  <si>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</si>
  <si>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</si>
  <si>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</si>
  <si>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</si>
  <si>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</si>
  <si>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</si>
  <si>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</si>
  <si>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</si>
  <si>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</si>
  <si>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</si>
  <si>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</si>
  <si>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</si>
  <si>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</si>
  <si>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</si>
  <si>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</si>
  <si>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</si>
  <si>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</si>
  <si>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</si>
  <si>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</si>
  <si>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</si>
  <si>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</si>
  <si>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</si>
  <si>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</si>
  <si>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</si>
  <si>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</si>
  <si>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</si>
  <si>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</si>
  <si>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</si>
  <si>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</si>
  <si>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</si>
  <si>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</si>
  <si>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</si>
  <si>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</si>
  <si>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</si>
  <si>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</si>
  <si>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</si>
  <si>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</si>
  <si>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</si>
  <si>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</si>
  <si>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</si>
  <si>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</si>
  <si>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</si>
  <si>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</si>
  <si>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</si>
  <si>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</si>
  <si>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</si>
  <si>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</si>
  <si>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</si>
  <si>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</si>
  <si>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</si>
  <si>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</si>
  <si>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</si>
  <si>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</si>
  <si>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</si>
  <si>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</si>
  <si>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</si>
  <si>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</si>
  <si>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</si>
  <si>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</si>
  <si>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</si>
  <si>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</si>
  <si>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</si>
  <si>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</si>
  <si>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</si>
  <si>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</si>
  <si>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</si>
  <si>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</si>
  <si>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</si>
  <si>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</si>
  <si>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</si>
  <si>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</si>
  <si>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</si>
  <si>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</si>
  <si>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</si>
  <si>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</si>
  <si>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</si>
  <si>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</si>
  <si>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</si>
  <si>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</si>
  <si>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</si>
  <si>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</si>
  <si>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</si>
  <si>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</si>
  <si>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</si>
  <si>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</si>
  <si>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</si>
  <si>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</si>
  <si>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</si>
  <si>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</si>
  <si>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</si>
  <si>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</si>
  <si>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</si>
  <si>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</si>
  <si>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</si>
  <si>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</si>
  <si>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</si>
  <si>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</si>
  <si>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</si>
  <si>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</si>
  <si>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</si>
  <si>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</si>
  <si>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</si>
  <si>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</si>
  <si>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</si>
  <si>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</si>
  <si>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</si>
  <si>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</si>
  <si>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</si>
  <si>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</si>
  <si>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</si>
  <si>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</si>
  <si>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</si>
  <si>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</si>
  <si>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</si>
  <si>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</si>
  <si>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</si>
  <si>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</si>
  <si>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</si>
  <si>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</si>
  <si>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</si>
  <si>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</si>
  <si>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</si>
  <si>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</si>
  <si>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</si>
  <si>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</si>
  <si>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</si>
  <si>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</si>
  <si>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</si>
  <si>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</si>
  <si>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</si>
  <si>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</si>
  <si>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</si>
  <si>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</si>
  <si>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</si>
  <si>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</si>
  <si>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</si>
  <si>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</si>
  <si>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</si>
  <si>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</si>
  <si>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</si>
  <si>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</si>
  <si>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</si>
  <si>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</si>
  <si>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</si>
  <si>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</si>
  <si>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</si>
  <si>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</si>
  <si>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</si>
  <si>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</si>
  <si>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</si>
  <si>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</si>
  <si>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</si>
  <si>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</si>
  <si>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</si>
  <si>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</si>
  <si>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</si>
  <si>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</si>
  <si>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</si>
  <si>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</si>
  <si>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</si>
  <si>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</si>
  <si>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</si>
  <si>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</si>
  <si>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</si>
  <si>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</si>
  <si>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</si>
  <si>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</si>
  <si>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</si>
  <si>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</si>
  <si>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</si>
  <si>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</si>
  <si>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</si>
  <si>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</si>
  <si>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</si>
  <si>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</si>
  <si>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</si>
  <si>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</si>
  <si>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</si>
  <si>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</si>
  <si>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</si>
  <si>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</si>
  <si>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</si>
  <si>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</si>
  <si>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</si>
  <si>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</si>
  <si>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</si>
  <si>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</si>
  <si>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</si>
  <si>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</si>
  <si>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</si>
  <si>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</si>
  <si>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</si>
  <si>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</si>
  <si>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</si>
  <si>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</si>
  <si>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</si>
  <si>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</si>
  <si>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</si>
  <si>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</si>
  <si>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</si>
  <si>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</si>
  <si>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</si>
  <si>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</si>
  <si>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</si>
  <si>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</si>
  <si>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</si>
  <si>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</si>
  <si>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</si>
  <si>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</si>
  <si>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</si>
  <si>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</si>
  <si>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</si>
  <si>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</si>
  <si>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</si>
  <si>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</si>
  <si>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</si>
  <si>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</si>
  <si>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</si>
  <si>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</si>
  <si>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</si>
  <si>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</si>
  <si>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</si>
  <si>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</si>
  <si>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</si>
  <si>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</si>
  <si>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</si>
  <si>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</si>
  <si>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</si>
  <si>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</si>
  <si>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</si>
  <si>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</si>
  <si>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</si>
  <si>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</si>
  <si>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</si>
  <si>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</si>
  <si>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</si>
  <si>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</si>
  <si>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</si>
  <si>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</si>
  <si>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</si>
  <si>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</si>
  <si>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</si>
  <si>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</si>
  <si>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</si>
  <si>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</si>
  <si>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</si>
  <si>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</si>
  <si>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</si>
  <si>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</si>
  <si>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</si>
  <si>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</si>
  <si>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</si>
  <si>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</si>
  <si>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</si>
  <si>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</si>
  <si>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</si>
  <si>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</si>
  <si>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</si>
  <si>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</si>
  <si>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</si>
  <si>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</si>
  <si>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</si>
  <si>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</si>
  <si>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</si>
  <si>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</si>
  <si>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</si>
  <si>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</si>
  <si>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</si>
  <si>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</si>
  <si>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</si>
  <si>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</si>
  <si>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</si>
  <si>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</si>
  <si>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</si>
  <si>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</si>
  <si>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</si>
  <si>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</si>
  <si>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</si>
  <si>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</si>
  <si>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</si>
  <si>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</si>
  <si>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</si>
  <si>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</si>
  <si>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</si>
  <si>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</si>
  <si>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</si>
  <si>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</si>
  <si>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</si>
  <si>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</si>
  <si>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</si>
  <si>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</si>
  <si>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</si>
  <si>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</si>
  <si>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</si>
  <si>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</si>
  <si>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</si>
  <si>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</si>
  <si>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</si>
  <si>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</si>
  <si>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</si>
  <si>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</si>
  <si>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</si>
  <si>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</si>
  <si>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</si>
  <si>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</si>
  <si>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</si>
  <si>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</si>
  <si>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</si>
  <si>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</si>
  <si>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</si>
  <si>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</si>
  <si>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</si>
  <si>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</si>
  <si>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</si>
  <si>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</si>
  <si>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</si>
  <si>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</si>
  <si>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</si>
  <si>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</si>
  <si>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</si>
  <si>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</si>
  <si>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</si>
  <si>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</si>
  <si>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</si>
  <si>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</si>
  <si>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</si>
  <si>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</si>
  <si>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</si>
  <si>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</si>
  <si>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</si>
  <si>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</si>
  <si>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</si>
  <si>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</si>
  <si>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</si>
  <si>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</si>
  <si>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</si>
  <si>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</si>
  <si>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</si>
  <si>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</si>
  <si>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</si>
  <si>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</si>
  <si>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</si>
  <si>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</si>
  <si>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</si>
  <si>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</si>
  <si>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</si>
  <si>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</si>
  <si>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</si>
  <si>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</si>
  <si>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</si>
  <si>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</si>
  <si>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</si>
  <si>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</si>
  <si>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</si>
  <si>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</si>
  <si>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</si>
  <si>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</si>
  <si>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</si>
  <si>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</si>
  <si>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</si>
  <si>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</si>
  <si>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</si>
  <si>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</si>
  <si>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</si>
  <si>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</si>
  <si>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</si>
  <si>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</si>
  <si>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</si>
  <si>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</si>
  <si>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</si>
  <si>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</si>
  <si>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</si>
  <si>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</si>
  <si>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</si>
  <si>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</si>
  <si>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</si>
  <si>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</si>
  <si>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</si>
  <si>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</si>
  <si>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</si>
  <si>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</si>
  <si>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</si>
  <si>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</si>
  <si>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</si>
  <si>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</si>
  <si>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</si>
  <si>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</si>
  <si>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</si>
  <si>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</si>
  <si>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</si>
  <si>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</si>
  <si>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</si>
  <si>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</si>
  <si>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</si>
  <si>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</si>
  <si>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</si>
  <si>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</si>
  <si>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</si>
  <si>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</si>
  <si>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</si>
  <si>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</si>
  <si>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</si>
  <si>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</si>
  <si>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</si>
  <si>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</si>
  <si>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</si>
  <si>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</si>
  <si>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</si>
  <si>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</si>
  <si>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</si>
  <si>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</si>
  <si>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</si>
  <si>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</si>
  <si>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</si>
  <si>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</si>
  <si>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</si>
  <si>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</si>
  <si>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</si>
  <si>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</si>
  <si>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</si>
  <si>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</si>
  <si>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</si>
  <si>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</si>
  <si>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</si>
  <si>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</si>
  <si>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</si>
  <si>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</si>
  <si>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</si>
  <si>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</si>
  <si>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</si>
  <si>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</si>
  <si>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</si>
  <si>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</si>
  <si>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</si>
  <si>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</si>
  <si>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</si>
  <si>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</si>
  <si>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</si>
  <si>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</si>
  <si>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</si>
  <si>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</si>
  <si>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</si>
  <si>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</si>
  <si>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</si>
  <si>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</si>
  <si>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</si>
  <si>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</si>
  <si>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</si>
  <si>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</si>
  <si>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</si>
  <si>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</si>
  <si>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</si>
  <si>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</si>
  <si>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</si>
  <si>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</si>
  <si>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</si>
  <si>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</si>
  <si>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</si>
  <si>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</si>
  <si>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</si>
  <si>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</si>
  <si>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</si>
  <si>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</si>
  <si>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</si>
  <si>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</si>
  <si>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</si>
  <si>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</si>
  <si>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</si>
  <si>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</si>
  <si>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</si>
  <si>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</si>
  <si>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</si>
  <si>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</si>
  <si>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</si>
  <si>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</si>
  <si>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</si>
  <si>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</si>
  <si>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</si>
  <si>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</si>
  <si>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</si>
  <si>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</si>
  <si>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</si>
  <si>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</si>
  <si>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</si>
  <si>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</si>
  <si>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</si>
  <si>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</si>
  <si>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</si>
  <si>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</si>
  <si>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</si>
  <si>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</si>
  <si>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</si>
  <si>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</si>
  <si>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</si>
  <si>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</si>
  <si>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</si>
  <si>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</si>
  <si>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</si>
  <si>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</si>
  <si>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</si>
  <si>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</si>
  <si>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</si>
  <si>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</si>
  <si>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</si>
  <si>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</si>
  <si>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</si>
  <si>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</si>
  <si>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</si>
  <si>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</si>
  <si>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</si>
  <si>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</si>
  <si>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</si>
  <si>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</si>
  <si>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</si>
  <si>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</si>
  <si>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</si>
  <si>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</si>
  <si>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</si>
  <si>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</si>
  <si>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</si>
  <si>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</si>
  <si>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</si>
  <si>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</si>
  <si>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</si>
  <si>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</si>
  <si>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</si>
  <si>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</si>
  <si>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</si>
  <si>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</si>
  <si>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</si>
  <si>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</si>
  <si>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</si>
  <si>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</si>
  <si>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</si>
  <si>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</si>
  <si>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</si>
  <si>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</si>
  <si>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</si>
  <si>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</si>
  <si>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</si>
  <si>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</si>
  <si>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</si>
  <si>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</si>
  <si>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</si>
  <si>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</si>
  <si>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</si>
  <si>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</si>
  <si>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</si>
  <si>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</si>
  <si>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</si>
  <si>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</si>
  <si>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</si>
  <si>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</si>
  <si>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</si>
  <si>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</si>
  <si>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</si>
  <si>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</si>
  <si>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</si>
  <si>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</si>
  <si>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</si>
  <si>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</si>
  <si>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</si>
  <si>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</si>
  <si>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</si>
  <si>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</si>
  <si>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</si>
  <si>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</si>
  <si>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</si>
  <si>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</si>
  <si>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</si>
  <si>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</si>
  <si>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</si>
  <si>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</si>
  <si>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</si>
  <si>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</si>
  <si>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</si>
  <si>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</si>
  <si>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</si>
  <si>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</si>
  <si>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</si>
  <si>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</si>
  <si>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</si>
  <si>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</si>
  <si>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</si>
  <si>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</si>
  <si>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</si>
  <si>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</si>
  <si>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</si>
  <si>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</si>
  <si>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</si>
  <si>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</si>
  <si>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</si>
  <si>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</si>
  <si>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</si>
  <si>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</si>
  <si>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</si>
  <si>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</si>
  <si>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</si>
  <si>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</si>
  <si>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</si>
  <si>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</si>
  <si>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</si>
  <si>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</si>
  <si>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</si>
  <si>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</si>
  <si>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</si>
  <si>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</si>
  <si>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</si>
  <si>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</si>
  <si>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</si>
  <si>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</si>
  <si>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</si>
  <si>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</si>
  <si>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</si>
  <si>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</si>
  <si>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</si>
  <si>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</si>
  <si>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</si>
  <si>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</si>
  <si>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</si>
  <si>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</si>
  <si>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</si>
  <si>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</si>
  <si>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</si>
  <si>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</si>
  <si>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</si>
  <si>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</si>
  <si>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</si>
  <si>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</si>
  <si>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</si>
  <si>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</si>
  <si>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</si>
  <si>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</si>
  <si>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</si>
  <si>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</si>
  <si>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</si>
  <si>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</si>
  <si>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</si>
  <si>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</si>
  <si>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</si>
  <si>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</si>
  <si>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</si>
  <si>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</si>
  <si>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</si>
  <si>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</si>
  <si>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</si>
  <si>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</si>
  <si>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</si>
  <si>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</si>
  <si>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</si>
  <si>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</si>
  <si>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</si>
  <si>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</si>
  <si>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</si>
  <si>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</si>
  <si>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</si>
  <si>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</si>
  <si>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</si>
  <si>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</si>
  <si>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</si>
  <si>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</si>
  <si>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</si>
  <si>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</si>
  <si>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</si>
  <si>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</si>
  <si>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</si>
  <si>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</si>
  <si>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</si>
  <si>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</si>
  <si>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</si>
  <si>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</si>
  <si>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</si>
  <si>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</si>
  <si>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</si>
  <si>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</si>
  <si>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</si>
  <si>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</si>
  <si>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</si>
  <si>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</si>
  <si>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</si>
  <si>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</si>
  <si>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</si>
  <si>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</si>
  <si>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</si>
  <si>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</si>
  <si>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</si>
  <si>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</si>
  <si>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</si>
  <si>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</si>
  <si>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</si>
  <si>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</si>
  <si>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</si>
  <si>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</si>
  <si>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</si>
  <si>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</si>
  <si>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</si>
  <si>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</si>
  <si>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</si>
  <si>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</si>
  <si>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</si>
  <si>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</si>
  <si>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</si>
  <si>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</si>
  <si>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</si>
  <si>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</si>
  <si>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</si>
  <si>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</si>
  <si>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</si>
  <si>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</si>
  <si>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</si>
  <si>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</si>
  <si>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</si>
  <si>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</si>
  <si>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</si>
  <si>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</si>
  <si>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</si>
  <si>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</si>
  <si>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</si>
  <si>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</si>
  <si>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</si>
  <si>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</si>
  <si>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</si>
  <si>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</si>
  <si>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</si>
  <si>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</si>
  <si>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</si>
  <si>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</si>
  <si>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</si>
  <si>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</si>
  <si>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</si>
  <si>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</si>
  <si>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</si>
  <si>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</si>
  <si>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</si>
  <si>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</si>
  <si>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</si>
  <si>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</si>
  <si>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</si>
  <si>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</si>
  <si>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</si>
  <si>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</si>
  <si>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</si>
  <si>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</si>
  <si>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</si>
  <si>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</si>
  <si>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</si>
  <si>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</si>
  <si>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</si>
  <si>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</si>
  <si>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</si>
  <si>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</si>
  <si>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</si>
  <si>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</si>
  <si>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</si>
  <si>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</si>
  <si>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</si>
  <si>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</si>
  <si>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</si>
  <si>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</si>
  <si>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</si>
  <si>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</si>
  <si>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</si>
  <si>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</si>
  <si>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</si>
  <si>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</si>
  <si>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</si>
  <si>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</si>
  <si>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</si>
  <si>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</si>
  <si>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</si>
  <si>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</si>
  <si>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</si>
  <si>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</si>
  <si>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</si>
  <si>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</si>
  <si>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</si>
  <si>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</si>
  <si>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</si>
  <si>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</si>
  <si>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</si>
  <si>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</si>
  <si>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</si>
  <si>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</si>
  <si>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</si>
  <si>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</si>
  <si>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</si>
  <si>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</si>
  <si>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</si>
  <si>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</si>
  <si>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</si>
  <si>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</si>
  <si>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</si>
  <si>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</si>
  <si>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</si>
  <si>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</si>
  <si>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</si>
  <si>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</si>
  <si>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</si>
  <si>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</si>
  <si>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</si>
  <si>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</si>
  <si>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</si>
  <si>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</si>
  <si>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</si>
  <si>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</si>
  <si>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</si>
  <si>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</si>
  <si>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</si>
  <si>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</si>
  <si>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</si>
  <si>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</si>
  <si>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</si>
  <si>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</si>
  <si>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</si>
  <si>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</si>
  <si>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</si>
  <si>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</si>
  <si>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</si>
  <si>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</si>
  <si>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</si>
  <si>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</si>
  <si>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</si>
  <si>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</si>
  <si>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</si>
  <si>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</si>
  <si>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</si>
  <si>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</si>
  <si>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</si>
  <si>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</si>
  <si>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</si>
  <si>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</si>
  <si>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</si>
  <si>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</si>
  <si>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</si>
  <si>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</si>
  <si>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</si>
  <si>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</si>
  <si>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</si>
  <si>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</si>
  <si>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</si>
  <si>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</si>
  <si>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</si>
  <si>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</si>
  <si>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</si>
  <si>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</si>
  <si>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</si>
  <si>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</si>
  <si>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</si>
  <si>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</si>
  <si>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</si>
  <si>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</si>
  <si>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</si>
  <si>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</si>
  <si>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</si>
  <si>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</si>
  <si>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</si>
  <si>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</si>
  <si>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</si>
  <si>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</si>
  <si>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</si>
  <si>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</si>
  <si>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</si>
  <si>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</si>
  <si>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</si>
  <si>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</si>
  <si>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</si>
  <si>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</si>
  <si>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</si>
  <si>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</si>
  <si>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</si>
  <si>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</si>
  <si>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</si>
  <si>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</si>
  <si>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</si>
  <si>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</si>
  <si>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</si>
  <si>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</si>
  <si>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</si>
  <si>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</si>
  <si>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</si>
  <si>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</si>
  <si>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</si>
  <si>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</si>
  <si>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</si>
  <si>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</si>
  <si>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</si>
  <si>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</si>
  <si>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</si>
  <si>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</si>
  <si>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</si>
  <si>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</si>
  <si>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</si>
  <si>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</si>
  <si>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</si>
  <si>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</si>
  <si>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</si>
  <si>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</si>
  <si>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</si>
  <si>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</si>
  <si>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</si>
  <si>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</si>
  <si>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</si>
  <si>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</si>
  <si>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</si>
  <si>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</si>
  <si>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</si>
  <si>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</si>
  <si>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</si>
  <si>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</si>
  <si>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</si>
  <si>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</si>
  <si>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</si>
  <si>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</si>
  <si>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</si>
  <si>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</si>
  <si>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</si>
  <si>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</si>
  <si>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</si>
  <si>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</si>
  <si>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</si>
  <si>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</si>
  <si>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</si>
  <si>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</si>
  <si>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</si>
  <si>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</si>
  <si>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</si>
  <si>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</si>
  <si>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</si>
  <si>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</si>
  <si>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</si>
  <si>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</si>
  <si>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</si>
  <si>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</si>
  <si>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</si>
  <si>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</si>
  <si>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</si>
  <si>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</si>
  <si>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</si>
  <si>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</si>
  <si>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</si>
  <si>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</si>
  <si>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</si>
  <si>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</si>
  <si>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</si>
  <si>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</si>
  <si>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</si>
  <si>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</si>
  <si>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</si>
  <si>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</si>
  <si>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</si>
  <si>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</si>
  <si>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</si>
  <si>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</si>
  <si>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</si>
  <si>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</si>
  <si>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</si>
  <si>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</si>
  <si>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</si>
  <si>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</si>
  <si>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</si>
  <si>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</si>
  <si>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</si>
  <si>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</si>
  <si>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</si>
  <si>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</si>
  <si>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</si>
  <si>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</si>
  <si>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</si>
  <si>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</si>
  <si>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</si>
  <si>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</si>
  <si>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</si>
  <si>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</si>
  <si>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</si>
  <si>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</si>
  <si>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</si>
  <si>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</si>
  <si>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</si>
  <si>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</si>
  <si>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</si>
  <si>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</si>
  <si>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</si>
  <si>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</si>
  <si>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</si>
  <si>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</si>
  <si>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</si>
  <si>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</si>
  <si>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</si>
  <si>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</si>
  <si>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</si>
  <si>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</si>
  <si>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</si>
  <si>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</si>
  <si>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</si>
  <si>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</si>
  <si>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</si>
  <si>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</si>
  <si>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</si>
  <si>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</si>
  <si>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</si>
  <si>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</si>
  <si>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</si>
  <si>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</si>
  <si>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</si>
  <si>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</si>
  <si>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</si>
  <si>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</si>
  <si>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</si>
  <si>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</si>
  <si>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</si>
  <si>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</si>
  <si>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</si>
  <si>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</si>
  <si>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</si>
  <si>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</si>
  <si>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</si>
  <si>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</si>
  <si>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</si>
  <si>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</si>
  <si>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</si>
  <si>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</si>
  <si>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</si>
  <si>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</si>
  <si>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</si>
  <si>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</si>
  <si>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</si>
  <si>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</si>
  <si>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</si>
  <si>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</si>
  <si>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</si>
  <si>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</si>
  <si>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</si>
  <si>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</si>
  <si>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</si>
  <si>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</si>
  <si>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</si>
  <si>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</si>
  <si>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</si>
  <si>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</si>
  <si>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</si>
  <si>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</si>
  <si>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</si>
  <si>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</si>
  <si>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</si>
  <si>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</si>
  <si>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</si>
  <si>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</si>
  <si>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</si>
  <si>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</si>
  <si>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</si>
  <si>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</si>
  <si>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</si>
  <si>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</si>
  <si>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</si>
  <si>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</si>
  <si>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</si>
  <si>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</si>
  <si>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</si>
  <si>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</si>
  <si>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</si>
  <si>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</si>
  <si>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</si>
  <si>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</si>
  <si>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</si>
  <si>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</si>
  <si>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</si>
  <si>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</si>
  <si>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</si>
  <si>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</si>
  <si>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</si>
  <si>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</si>
  <si>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</si>
  <si>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</si>
  <si>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</si>
  <si>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</si>
  <si>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</si>
  <si>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</si>
  <si>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</si>
  <si>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</si>
  <si>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</si>
  <si>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</si>
  <si>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</si>
  <si>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</si>
  <si>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</si>
  <si>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</si>
  <si>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</si>
  <si>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</si>
  <si>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</si>
  <si>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</si>
  <si>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</si>
  <si>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</si>
  <si>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</si>
  <si>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</si>
  <si>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</si>
  <si>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</si>
  <si>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</si>
  <si>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</si>
  <si>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</si>
  <si>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</si>
  <si>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</si>
  <si>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</si>
  <si>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</si>
  <si>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</si>
  <si>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</si>
  <si>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</si>
  <si>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</si>
  <si>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</si>
  <si>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</si>
  <si>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</si>
  <si>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</si>
  <si>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</si>
  <si>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</si>
  <si>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</si>
  <si>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</si>
  <si>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</si>
  <si>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</si>
  <si>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</si>
  <si>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</si>
  <si>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</si>
  <si>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</si>
  <si>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</si>
  <si>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</si>
  <si>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</si>
  <si>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</si>
  <si>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</si>
  <si>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</si>
  <si>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</si>
  <si>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</si>
  <si>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</si>
  <si>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</si>
  <si>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</si>
  <si>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</si>
  <si>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</si>
  <si>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</si>
  <si>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</si>
  <si>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</si>
  <si>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</si>
  <si>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</si>
  <si>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</si>
  <si>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</si>
  <si>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</si>
  <si>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</si>
  <si>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</si>
  <si>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</si>
  <si>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</si>
  <si>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</si>
  <si>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</si>
  <si>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</si>
  <si>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</si>
  <si>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</si>
  <si>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</si>
  <si>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</si>
  <si>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</si>
  <si>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</si>
  <si>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</si>
  <si>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</si>
  <si>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</si>
  <si>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</si>
  <si>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</si>
  <si>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</si>
  <si>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</si>
  <si>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</si>
  <si>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</si>
  <si>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</si>
  <si>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</si>
  <si>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</si>
  <si>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</si>
  <si>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</si>
  <si>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</si>
  <si>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</si>
  <si>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</si>
  <si>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</si>
  <si>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</si>
  <si>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</si>
  <si>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</si>
  <si>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</si>
  <si>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</si>
  <si>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</si>
  <si>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</si>
  <si>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</si>
  <si>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</si>
  <si>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</si>
  <si>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</si>
  <si>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</si>
  <si>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</si>
  <si>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</si>
  <si>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</si>
  <si>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</si>
  <si>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</si>
  <si>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</si>
  <si>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</si>
  <si>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</si>
  <si>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</si>
  <si>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</si>
  <si>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</si>
  <si>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</si>
  <si>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</si>
  <si>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</si>
  <si>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</si>
  <si>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</si>
  <si>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</si>
  <si>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</si>
  <si>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</si>
  <si>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</si>
  <si>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</si>
  <si>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</si>
  <si>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</si>
  <si>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</si>
  <si>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</si>
  <si>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</si>
  <si>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</si>
  <si>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</si>
  <si>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</si>
  <si>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</si>
  <si>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</si>
  <si>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</si>
  <si>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</si>
  <si>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</si>
  <si>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</si>
  <si>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</si>
  <si>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</si>
  <si>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</si>
  <si>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</si>
  <si>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</si>
  <si>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</si>
  <si>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</si>
  <si>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</si>
  <si>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</si>
  <si>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</si>
  <si>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</si>
  <si>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</si>
  <si>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</si>
  <si>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</si>
  <si>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</si>
  <si>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</si>
  <si>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</si>
  <si>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</si>
  <si>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</si>
  <si>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</si>
  <si>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</si>
  <si>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</si>
  <si>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</si>
  <si>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</si>
  <si>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</si>
  <si>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</si>
  <si>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</si>
  <si>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</si>
  <si>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</si>
  <si>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</si>
  <si>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</si>
  <si>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</si>
  <si>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</si>
  <si>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</si>
  <si>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</si>
  <si>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</si>
  <si>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</si>
  <si>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</si>
  <si>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</si>
  <si>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</si>
  <si>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</si>
  <si>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</si>
  <si>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</si>
  <si>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</si>
  <si>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</si>
  <si>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</si>
  <si>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</si>
  <si>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</si>
  <si>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</si>
  <si>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</si>
  <si>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</si>
  <si>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</si>
  <si>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</si>
  <si>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</si>
  <si>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</si>
  <si>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</si>
  <si>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</si>
  <si>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</si>
  <si>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</si>
  <si>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</si>
  <si>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</si>
  <si>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</si>
  <si>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</si>
  <si>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</si>
  <si>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</si>
  <si>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</si>
  <si>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</si>
  <si>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</si>
  <si>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</si>
  <si>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</si>
  <si>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</si>
  <si>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</si>
  <si>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</si>
  <si>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</si>
  <si>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</si>
  <si>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</si>
  <si>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</si>
  <si>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</si>
  <si>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</si>
  <si>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</si>
  <si>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</si>
  <si>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</si>
  <si>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</si>
  <si>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</si>
  <si>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</si>
  <si>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</si>
  <si>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</si>
  <si>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</si>
  <si>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</si>
  <si>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</si>
  <si>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</si>
  <si>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</si>
  <si>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</si>
  <si>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</si>
  <si>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</si>
  <si>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</si>
  <si>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</si>
  <si>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</si>
  <si>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</si>
  <si>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</si>
  <si>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</si>
  <si>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</si>
  <si>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</si>
  <si>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</si>
  <si>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</si>
  <si>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</si>
  <si>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</si>
  <si>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</si>
  <si>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</si>
  <si>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</si>
  <si>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</si>
  <si>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</si>
  <si>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</si>
  <si>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</si>
  <si>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</si>
  <si>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</si>
  <si>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</si>
  <si>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</si>
  <si>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</si>
  <si>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</si>
  <si>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</si>
  <si>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</si>
  <si>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</si>
  <si>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</si>
  <si>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</si>
  <si>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</si>
  <si>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</si>
  <si>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</si>
  <si>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</si>
  <si>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</si>
  <si>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</si>
  <si>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</si>
  <si>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</si>
  <si>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</si>
  <si>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</si>
  <si>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</si>
  <si>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</si>
  <si>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</si>
  <si>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</si>
  <si>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</si>
  <si>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</si>
  <si>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</si>
  <si>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</si>
  <si>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</si>
  <si>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</si>
  <si>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</si>
  <si>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</si>
  <si>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</si>
  <si>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</si>
  <si>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</si>
  <si>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</si>
  <si>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</si>
  <si>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</si>
  <si>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</si>
  <si>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</si>
  <si>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</si>
  <si>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</si>
  <si>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</si>
  <si>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</si>
  <si>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</si>
  <si>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</si>
  <si>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</si>
  <si>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</si>
  <si>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</si>
  <si>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</si>
  <si>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</si>
  <si>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</si>
  <si>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</si>
  <si>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</si>
  <si>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</si>
  <si>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</si>
  <si>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</si>
  <si>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</si>
  <si>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</si>
  <si>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</si>
  <si>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</si>
  <si>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</si>
  <si>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</si>
  <si>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</si>
  <si>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</si>
  <si>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</si>
  <si>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</si>
  <si>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</si>
  <si>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</si>
  <si>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</si>
  <si>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</si>
  <si>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</si>
  <si>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</si>
  <si>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</si>
  <si>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</si>
  <si>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</si>
  <si>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</si>
  <si>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</si>
  <si>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</si>
  <si>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</si>
  <si>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</si>
  <si>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</si>
  <si>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</si>
  <si>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</si>
  <si>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</si>
  <si>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</si>
  <si>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</si>
  <si>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</si>
  <si>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</si>
  <si>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</si>
  <si>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</si>
  <si>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</si>
  <si>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</si>
  <si>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</si>
  <si>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</si>
  <si>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</si>
  <si>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</si>
  <si>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</si>
  <si>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</si>
  <si>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</si>
  <si>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</si>
  <si>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</si>
  <si>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</si>
  <si>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</si>
  <si>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</si>
  <si>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</si>
  <si>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</si>
  <si>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</si>
  <si>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</si>
  <si>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</si>
  <si>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</si>
  <si>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</si>
  <si>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</si>
  <si>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</si>
  <si>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</si>
  <si>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</si>
  <si>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</si>
  <si>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</si>
  <si>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</si>
  <si>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</si>
  <si>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</si>
  <si>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</si>
  <si>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</si>
  <si>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</si>
  <si>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</si>
  <si>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</si>
  <si>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</si>
  <si>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</si>
  <si>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</si>
  <si>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</si>
  <si>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</si>
  <si>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</si>
  <si>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</si>
  <si>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</si>
  <si>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</si>
  <si>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</si>
  <si>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</si>
  <si>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</si>
  <si>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</si>
  <si>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</si>
  <si>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</si>
  <si>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</si>
  <si>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</si>
  <si>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</si>
  <si>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</si>
  <si>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</si>
  <si>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</si>
  <si>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</si>
  <si>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</si>
  <si>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</si>
  <si>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</si>
  <si>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</si>
  <si>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</si>
  <si>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</si>
  <si>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</si>
  <si>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</si>
  <si>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</si>
  <si>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</si>
  <si>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</si>
  <si>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</si>
  <si>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</si>
  <si>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</si>
  <si>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</si>
  <si>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</si>
  <si>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</si>
  <si>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</si>
  <si>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</si>
  <si>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</si>
  <si>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</si>
  <si>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</si>
  <si>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</si>
  <si>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</si>
  <si>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</si>
  <si>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</si>
  <si>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</si>
  <si>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</si>
  <si>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</si>
  <si>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</si>
  <si>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</si>
  <si>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</si>
  <si>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</si>
  <si>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</si>
  <si>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</si>
  <si>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</si>
  <si>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</si>
  <si>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</si>
  <si>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</si>
  <si>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</si>
  <si>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</si>
  <si>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</si>
  <si>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</si>
  <si>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</si>
  <si>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</si>
  <si>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</si>
  <si>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</si>
  <si>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</si>
  <si>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</si>
  <si>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</si>
  <si>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</si>
  <si>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</si>
  <si>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</si>
  <si>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</si>
  <si>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</si>
  <si>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</si>
  <si>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</si>
  <si>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</si>
  <si>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</si>
  <si>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</si>
  <si>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</si>
  <si>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</si>
  <si>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</si>
  <si>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</si>
  <si>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</si>
  <si>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</si>
  <si>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</si>
  <si>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</si>
  <si>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</si>
  <si>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</si>
  <si>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</si>
  <si>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</si>
  <si>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</si>
  <si>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</si>
  <si>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</si>
  <si>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</si>
  <si>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</si>
  <si>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</si>
  <si>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</si>
  <si>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</si>
  <si>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</si>
  <si>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</si>
  <si>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</si>
  <si>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</si>
  <si>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</si>
  <si>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</si>
  <si>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</si>
  <si>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</si>
  <si>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</si>
  <si>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</si>
  <si>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</si>
  <si>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</si>
  <si>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</si>
  <si>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</si>
  <si>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</si>
  <si>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</si>
  <si>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</si>
  <si>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</si>
  <si>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</si>
  <si>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</si>
  <si>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</si>
  <si>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</si>
  <si>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</si>
  <si>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</si>
  <si>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</si>
  <si>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</si>
  <si>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</si>
  <si>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</si>
  <si>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</si>
  <si>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</si>
  <si>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</si>
  <si>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</si>
  <si>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</si>
  <si>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</si>
  <si>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</si>
  <si>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</si>
  <si>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</si>
  <si>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</si>
  <si>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</si>
  <si>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</si>
  <si>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</si>
  <si>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</si>
  <si>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</si>
  <si>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</si>
  <si>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</si>
  <si>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</si>
  <si>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</si>
  <si>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</si>
  <si>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</si>
  <si>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</si>
  <si>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</si>
  <si>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</si>
  <si>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</si>
  <si>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</si>
  <si>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</si>
  <si>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</si>
  <si>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</si>
  <si>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</si>
  <si>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</si>
  <si>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</si>
  <si>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</si>
  <si>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</si>
  <si>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</si>
  <si>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</si>
  <si>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</si>
  <si>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</si>
  <si>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</si>
  <si>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</si>
  <si>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</si>
  <si>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</si>
  <si>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</si>
  <si>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</si>
  <si>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</si>
  <si>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</si>
  <si>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</si>
  <si>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</si>
  <si>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</si>
  <si>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</si>
  <si>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</si>
  <si>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</si>
  <si>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</si>
  <si>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</si>
  <si>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</si>
  <si>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</si>
  <si>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</si>
  <si>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</si>
  <si>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</si>
  <si>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</si>
  <si>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</si>
  <si>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</si>
  <si>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</si>
  <si>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</si>
  <si>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</si>
  <si>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</si>
  <si>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</si>
  <si>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</si>
  <si>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</si>
  <si>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</si>
  <si>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</si>
  <si>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</si>
  <si>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</si>
  <si>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</si>
  <si>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</si>
  <si>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</si>
  <si>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</si>
  <si>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</si>
  <si>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</si>
  <si>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</si>
  <si>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</si>
  <si>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</si>
  <si>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</si>
  <si>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</si>
  <si>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</si>
  <si>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</si>
  <si>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</si>
  <si>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</si>
  <si>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</si>
  <si>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</si>
  <si>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</si>
  <si>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</si>
  <si>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</si>
  <si>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</si>
  <si>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</si>
  <si>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</si>
  <si>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</si>
  <si>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</si>
  <si>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</si>
  <si>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</si>
  <si>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</si>
  <si>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</si>
  <si>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</si>
  <si>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</si>
  <si>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</si>
  <si>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</si>
  <si>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</si>
  <si>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</si>
  <si>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</si>
  <si>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</si>
  <si>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</si>
  <si>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</si>
  <si>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</si>
  <si>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</si>
  <si>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</si>
  <si>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</si>
  <si>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</si>
  <si>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</si>
  <si>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</si>
  <si>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</si>
  <si>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</si>
  <si>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</si>
  <si>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</si>
  <si>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</si>
  <si>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</si>
  <si>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</si>
  <si>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</si>
  <si>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</si>
  <si>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</si>
  <si>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</si>
  <si>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</si>
  <si>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</si>
  <si>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</si>
  <si>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</si>
  <si>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</si>
  <si>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</si>
  <si>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</si>
  <si>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</si>
  <si>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</si>
  <si>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</si>
  <si>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</si>
  <si>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</si>
  <si>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</si>
  <si>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</si>
  <si>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</si>
  <si>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</si>
  <si>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</si>
  <si>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</si>
  <si>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</si>
  <si>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</si>
  <si>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</si>
  <si>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</si>
  <si>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</si>
  <si>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</si>
  <si>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</si>
  <si>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</si>
  <si>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</si>
  <si>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</si>
  <si>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</si>
  <si>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</si>
  <si>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</si>
  <si>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</si>
  <si>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</si>
  <si>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</si>
  <si>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</si>
  <si>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</si>
  <si>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</si>
  <si>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</si>
  <si>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</si>
  <si>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</si>
  <si>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</si>
  <si>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</si>
  <si>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</si>
  <si>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</si>
  <si>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</si>
  <si>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</si>
  <si>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</si>
  <si>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</si>
  <si>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</si>
  <si>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</si>
  <si>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</si>
  <si>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</si>
  <si>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</si>
  <si>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</si>
  <si>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</si>
  <si>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</si>
  <si>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</si>
  <si>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</si>
  <si>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</si>
  <si>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</si>
  <si>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</si>
  <si>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</si>
  <si>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</si>
  <si>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</si>
  <si>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</si>
  <si>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</si>
  <si>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</si>
  <si>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</si>
  <si>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</si>
  <si>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</si>
  <si>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</si>
  <si>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</si>
  <si>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</si>
  <si>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</si>
  <si>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</si>
  <si>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</si>
  <si>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</si>
  <si>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</si>
  <si>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</si>
  <si>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</si>
  <si>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</si>
  <si>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</si>
  <si>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</si>
  <si>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</si>
  <si>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</si>
  <si>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</si>
  <si>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</si>
  <si>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</si>
  <si>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</si>
  <si>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</si>
  <si>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</si>
  <si>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</si>
  <si>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</si>
  <si>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</si>
  <si>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</si>
  <si>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</si>
  <si>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</si>
  <si>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</si>
  <si>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</si>
  <si>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</si>
  <si>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</si>
  <si>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</si>
  <si>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</si>
  <si>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</si>
  <si>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</si>
  <si>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</si>
  <si>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</si>
  <si>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</si>
  <si>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</si>
  <si>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</si>
  <si>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</si>
  <si>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</si>
  <si>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</si>
  <si>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</si>
  <si>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</si>
  <si>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</si>
  <si>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</si>
  <si>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</si>
  <si>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</si>
  <si>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</si>
  <si>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</si>
  <si>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</si>
  <si>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</si>
  <si>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</si>
  <si>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</si>
  <si>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</si>
  <si>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</si>
  <si>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</si>
  <si>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</si>
  <si>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</si>
  <si>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</si>
  <si>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</si>
  <si>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</si>
  <si>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</si>
  <si>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</si>
  <si>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</si>
  <si>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</si>
  <si>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</si>
  <si>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</si>
  <si>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</si>
  <si>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</si>
  <si>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</si>
  <si>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</si>
  <si>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</si>
  <si>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</si>
  <si>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</si>
  <si>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</si>
  <si>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</si>
  <si>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</si>
  <si>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</si>
  <si>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</si>
  <si>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</si>
  <si>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</si>
  <si>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</si>
  <si>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</si>
  <si>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</si>
  <si>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</si>
  <si>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</si>
  <si>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</si>
  <si>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</si>
  <si>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</si>
  <si>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</si>
  <si>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</si>
  <si>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</si>
  <si>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</si>
  <si>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</si>
  <si>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</si>
  <si>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</si>
  <si>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</si>
  <si>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</si>
  <si>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</si>
  <si>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</si>
  <si>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</si>
  <si>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</si>
  <si>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</si>
  <si>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</si>
  <si>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</si>
  <si>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</si>
  <si>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</si>
  <si>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</si>
  <si>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</si>
  <si>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</si>
  <si>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</si>
  <si>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</si>
  <si>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</si>
  <si>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</si>
  <si>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</si>
  <si>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</si>
  <si>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</si>
  <si>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</si>
  <si>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</si>
  <si>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</si>
  <si>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</si>
  <si>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</si>
  <si>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</si>
  <si>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</si>
  <si>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</si>
  <si>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</si>
  <si>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</si>
  <si>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</si>
  <si>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</si>
  <si>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</si>
  <si>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</si>
  <si>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</si>
  <si>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</si>
  <si>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</si>
  <si>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</si>
  <si>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</si>
  <si>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</si>
  <si>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</si>
  <si>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</si>
  <si>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</si>
  <si>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</si>
  <si>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</si>
  <si>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</si>
  <si>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</si>
  <si>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</si>
  <si>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</si>
  <si>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</si>
  <si>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</si>
  <si>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</si>
  <si>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</si>
  <si>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</si>
  <si>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</si>
  <si>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</si>
  <si>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</si>
  <si>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</si>
  <si>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</si>
  <si>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</si>
  <si>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</si>
  <si>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</si>
  <si>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</si>
  <si>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</si>
  <si>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</si>
  <si>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</si>
  <si>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</si>
  <si>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</si>
  <si>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</si>
  <si>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</si>
  <si>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</si>
  <si>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</si>
  <si>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</si>
  <si>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</si>
  <si>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</si>
  <si>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</si>
  <si>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</si>
  <si>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</si>
  <si>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</si>
  <si>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</si>
  <si>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</si>
  <si>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</si>
  <si>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</si>
  <si>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</si>
  <si>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</si>
  <si>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</si>
  <si>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</si>
  <si>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</si>
  <si>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</si>
  <si>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</si>
  <si>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</si>
  <si>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</si>
  <si>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</si>
  <si>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</si>
  <si>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</si>
  <si>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</si>
  <si>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</si>
  <si>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</si>
  <si>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</si>
  <si>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</si>
  <si>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</si>
  <si>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</si>
  <si>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</si>
  <si>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</si>
  <si>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</si>
  <si>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</si>
  <si>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</si>
  <si>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</si>
  <si>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</si>
  <si>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</si>
  <si>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</si>
  <si>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</si>
  <si>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</si>
  <si>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</si>
  <si>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</si>
  <si>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</si>
  <si>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</si>
  <si>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</si>
  <si>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</si>
  <si>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</si>
  <si>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</si>
  <si>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</si>
  <si>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</si>
  <si>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</si>
  <si>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</si>
  <si>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</si>
  <si>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</si>
  <si>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</si>
  <si>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</si>
  <si>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</si>
  <si>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</si>
  <si>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</si>
  <si>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</si>
  <si>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</si>
  <si>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</si>
  <si>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</si>
  <si>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</si>
  <si>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</si>
  <si>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</si>
  <si>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</si>
  <si>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</si>
  <si>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</si>
  <si>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</si>
  <si>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</si>
  <si>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</si>
  <si>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</si>
  <si>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</si>
  <si>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</si>
  <si>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</si>
  <si>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</si>
  <si>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</si>
  <si>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</si>
  <si>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</si>
  <si>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</si>
  <si>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</si>
  <si>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</si>
  <si>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</si>
  <si>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</si>
  <si>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</si>
  <si>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</si>
  <si>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</si>
  <si>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</si>
  <si>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</si>
  <si>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</si>
  <si>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</si>
  <si>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</si>
  <si>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</si>
  <si>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</si>
  <si>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Arc</t>
  </si>
  <si>
    <t xml:space="preserve">Berre l'Etang</t>
  </si>
  <si>
    <t xml:space="preserve">06195500</t>
  </si>
  <si>
    <t xml:space="preserve">RCS PACA 2015</t>
  </si>
  <si>
    <t xml:space="preserve">radier</t>
  </si>
  <si>
    <t xml:space="preserve">pl. lent</t>
  </si>
  <si>
    <t xml:space="preserve">élevé</t>
  </si>
  <si>
    <t xml:space="preserve">moyen</t>
  </si>
  <si>
    <t xml:space="preserve">abondant</t>
  </si>
  <si>
    <t xml:space="preserve">peu abondant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</si>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</sst>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42233</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9.77777777777778</v>
      </c>
      <c r="N5" s="352"/>
      <c r="O5" s="353" t="s">
        <v>132</v>
      </c>
      <c r="P5" s="354" t="n">
        <v>10.25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7</v>
      </c>
      <c r="P6" s="366" t="s">
        <v>3461</v>
      </c>
      <c r="Q6" s="367"/>
      <c r="R6" s="309"/>
      <c r="S6" s="309"/>
      <c r="T6" s="309"/>
      <c r="U6" s="309"/>
      <c r="V6" s="309"/>
      <c r="W6" s="323"/>
    </row>
    <row r="7" customFormat="false" ht="12.75" hidden="false" customHeight="false" outlineLevel="0" collapsed="false">
      <c r="A7" s="368" t="s">
        <v>3388</v>
      </c>
      <c r="B7" s="369" t="n">
        <v>31</v>
      </c>
      <c r="C7" s="370" t="n">
        <v>69</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9.90909090909091</v>
      </c>
      <c r="P8" s="384" t="n">
        <f aca="false">IF(ISERROR(AVERAGE(K23:K82)),"  ",AVERAGE(K23:K82))</f>
        <v>1.36363636363636</v>
      </c>
      <c r="Q8" s="385"/>
      <c r="R8" s="309"/>
      <c r="S8" s="309"/>
      <c r="T8" s="309"/>
      <c r="U8" s="309"/>
      <c r="V8" s="309"/>
      <c r="W8" s="323"/>
    </row>
    <row r="9" customFormat="false" ht="12.75" hidden="false" customHeight="false" outlineLevel="0" collapsed="false">
      <c r="A9" s="342" t="s">
        <v>3394</v>
      </c>
      <c r="B9" s="386" t="n">
        <v>3.3</v>
      </c>
      <c r="C9" s="387" t="n">
        <v>0.8</v>
      </c>
      <c r="D9" s="388"/>
      <c r="E9" s="388"/>
      <c r="F9" s="389" t="n">
        <f aca="false">($B9*$B$7+$C9*$C$7)/100</f>
        <v>1.575</v>
      </c>
      <c r="G9" s="390"/>
      <c r="H9" s="345"/>
      <c r="I9" s="309"/>
      <c r="J9" s="391"/>
      <c r="K9" s="392"/>
      <c r="L9" s="375"/>
      <c r="M9" s="393"/>
      <c r="N9" s="383" t="s">
        <v>3395</v>
      </c>
      <c r="O9" s="384" t="n">
        <f aca="false">IF(ISERROR(STDEVP(J23:J82))," ",STDEVP(J23:J82))</f>
        <v>2.53895273523072</v>
      </c>
      <c r="P9" s="384" t="n">
        <f aca="false">IF(ISERROR(STDEVP(K23:K82)),"  ",STDEVP(K23:K82))</f>
        <v>0.481045692920835</v>
      </c>
      <c r="Q9" s="385"/>
      <c r="R9" s="309"/>
      <c r="S9" s="309"/>
      <c r="T9" s="309"/>
      <c r="U9" s="309"/>
      <c r="V9" s="309"/>
      <c r="W9" s="323"/>
    </row>
    <row r="10" customFormat="false" ht="12.75" hidden="false" customHeight="false" outlineLevel="0" collapsed="false">
      <c r="A10" s="342" t="s">
        <v>3396</v>
      </c>
      <c r="B10" s="394" t="s">
        <v>3462</v>
      </c>
      <c r="C10" s="395" t="s">
        <v>3463</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14</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5</v>
      </c>
      <c r="M15" s="409"/>
      <c r="N15" s="417" t="s">
        <v>3412</v>
      </c>
      <c r="O15" s="418" t="n">
        <f aca="false">COUNTIF(K23:K82,"=1")</f>
        <v>7</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0.785714285714286</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3.32</v>
      </c>
      <c r="C20" s="461" t="n">
        <f aca="false">SUM(C23:C62)</f>
        <v>0.79</v>
      </c>
      <c r="D20" s="462"/>
      <c r="E20" s="463" t="s">
        <v>3419</v>
      </c>
      <c r="F20" s="464" t="n">
        <f aca="false">($B20*$B$7+$C20*$C$7)/100</f>
        <v>1.5743</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1.0292</v>
      </c>
      <c r="C21" s="472" t="n">
        <f aca="false">C20*C7/100</f>
        <v>0.5451</v>
      </c>
      <c r="D21" s="473" t="s">
        <v>3422</v>
      </c>
      <c r="E21" s="474"/>
      <c r="F21" s="475" t="n">
        <f aca="false">B21+C21</f>
        <v>1.5743</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2</v>
      </c>
      <c r="C23" s="502" t="n">
        <v>0.5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0.965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0.965</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0.01</v>
      </c>
      <c r="C24" s="520" t="n">
        <v>0.01</v>
      </c>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0.01</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169</v>
      </c>
      <c r="B25" s="519"/>
      <c r="C25" s="520" t="n">
        <v>0.02</v>
      </c>
      <c r="D25" s="521" t="str">
        <f aca="false">IF(ISERROR(VLOOKUP($A25,'liste reference'!$A$6:$B$1174,2,0)),IF(ISERROR(VLOOKUP($A25,'liste reference'!$B$6:$B$1174,1,0)),"",VLOOKUP($A25,'liste reference'!$B$6:$B$1174,1,0)),VLOOKUP($A25,'liste reference'!$A$6:$B$1174,2,0))</f>
        <v>Geitlerinema sp.</v>
      </c>
      <c r="E25" s="522" t="e">
        <f aca="false">IF(D25="",0,VLOOKUP(D25,D$22:D24,1,0))</f>
        <v>#N/A</v>
      </c>
      <c r="F25" s="523" t="n">
        <f aca="false">IF(AND(OR(A25="",A25="!!!!!!"),B25="",C25=""),"",IF(OR(AND(B25="",C25=""),ISERROR(C25+B25)),"!!!",($B25*$B$7+$C25*$C$7)/100))</f>
        <v>0.0138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Geitlerinema sp.</v>
      </c>
      <c r="M25" s="527"/>
      <c r="N25" s="527"/>
      <c r="O25" s="527"/>
      <c r="P25" s="528" t="s">
        <v>3464</v>
      </c>
      <c r="Q25" s="529" t="n">
        <f aca="false">IF(OR($A25="NEWCOD",$A25="!!!!!!"),IF(X25="","NoCod",X25),IF($A25="","",IF(ISERROR(VLOOKUP($A25,'liste reference'!$A$6:$H$1174,8,FALSE())),IF(ISERROR(VLOOKUP($A25,'liste reference'!$B$6:$H$1174,7,FALSE())),"",VLOOKUP($A25,'liste reference'!$B$6:$H$1174,7,FALSE())),VLOOKUP($A25,'liste reference'!$A$6:$H$1174,8,FALSE()))))</f>
        <v>6451</v>
      </c>
      <c r="R25" s="513" t="n">
        <f aca="false">IF(ISTEXT(H25),"",(B25*$B$7/100)+(C25*$C$7/100))</f>
        <v>0.0138</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GEISPX</v>
      </c>
      <c r="Z25" s="499" t="n">
        <f aca="false">IF(ISERROR(MATCH(A25,'liste reference'!$A$6:$A$1174,0)),IF(ISERROR(MATCH(A25,'liste reference'!$B$6:$B$1174,0)),"",(MATCH(A25,'liste reference'!$B$6:$B$1174,0))),(MATCH(A25,'liste reference'!$A$6:$A$1174,0)))</f>
        <v>47</v>
      </c>
    </row>
    <row r="26" customFormat="false" ht="12.75" hidden="false" customHeight="false" outlineLevel="0" collapsed="false">
      <c r="A26" s="518" t="s">
        <v>226</v>
      </c>
      <c r="B26" s="519" t="n">
        <v>0.9</v>
      </c>
      <c r="C26" s="520"/>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0.279</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0.279</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341</v>
      </c>
      <c r="B27" s="519" t="n">
        <v>0.03</v>
      </c>
      <c r="C27" s="520" t="n">
        <v>0.01</v>
      </c>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0.0162</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0.0162</v>
      </c>
      <c r="S27" s="514" t="n">
        <f aca="false">IF(OR(ISTEXT(H27),R27=0),"",IF(R27&lt;0.1,1,IF(R27&lt;1,2,IF(R27&lt;10,3,IF(R27&lt;50,4,IF(R27&gt;=50,5,""))))))</f>
        <v>1</v>
      </c>
      <c r="T27" s="514" t="n">
        <f aca="false">IF(ISERROR(S27*J27),0,S27*J27)</f>
        <v>10</v>
      </c>
      <c r="U27" s="514" t="n">
        <f aca="false">IF(ISERROR(S27*J27*K27),0,S27*J27*K27)</f>
        <v>10</v>
      </c>
      <c r="V27" s="530" t="n">
        <f aca="false">IF(ISERROR(S27*K27),0,S27*K27)</f>
        <v>1</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346</v>
      </c>
      <c r="B28" s="519" t="n">
        <v>0.01</v>
      </c>
      <c r="C28" s="520"/>
      <c r="D28" s="521" t="str">
        <f aca="false">IF(ISERROR(VLOOKUP($A28,'liste reference'!$A$6:$B$1174,2,0)),IF(ISERROR(VLOOKUP($A28,'liste reference'!$B$6:$B$1174,1,0)),"",VLOOKUP($A28,'liste reference'!$B$6:$B$1174,1,0)),VLOOKUP($A28,'liste reference'!$A$6:$B$1174,2,0))</f>
        <v>Stigeoclonium sp. (excep. S. tenue)</v>
      </c>
      <c r="E28" s="522" t="e">
        <f aca="false">IF(D28="",0,VLOOKUP(D28,D$22:D27,1,0))</f>
        <v>#N/A</v>
      </c>
      <c r="F28" s="523" t="n">
        <f aca="false">IF(AND(OR(A28="",A28="!!!!!!"),B28="",C28=""),"",IF(OR(AND(B28="",C28=""),ISERROR(C28+B28)),"!!!",($B28*$B$7+$C28*$C$7)/100))</f>
        <v>0.0031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Stigeoclonium sp. (excep. S. tenue)</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1119</v>
      </c>
      <c r="R28" s="513" t="n">
        <f aca="false">IF(ISTEXT(H28),"",(B28*$B$7/100)+(C28*$C$7/100))</f>
        <v>0.0031</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STISPX</v>
      </c>
      <c r="Z28" s="499" t="n">
        <f aca="false">IF(ISERROR(MATCH(A28,'liste reference'!$A$6:$A$1174,0)),IF(ISERROR(MATCH(A28,'liste reference'!$B$6:$B$1174,0)),"",(MATCH(A28,'liste reference'!$B$6:$B$1174,0))),(MATCH(A28,'liste reference'!$A$6:$A$1174,0)))</f>
        <v>104</v>
      </c>
    </row>
    <row r="29" customFormat="false" ht="12.75" hidden="false" customHeight="false" outlineLevel="0" collapsed="false">
      <c r="A29" s="518" t="s">
        <v>353</v>
      </c>
      <c r="B29" s="519" t="n">
        <v>0.01</v>
      </c>
      <c r="C29" s="520"/>
      <c r="D29" s="521" t="str">
        <f aca="false">IF(ISERROR(VLOOKUP($A29,'liste reference'!$A$6:$B$1174,2,0)),IF(ISERROR(VLOOKUP($A29,'liste reference'!$B$6:$B$1174,1,0)),"",VLOOKUP($A29,'liste reference'!$B$6:$B$1174,1,0)),VLOOKUP($A29,'liste reference'!$A$6:$B$1174,2,0))</f>
        <v>Tetraspora sp.</v>
      </c>
      <c r="E29" s="522" t="e">
        <f aca="false">IF(D29="",0,VLOOKUP(D29,D$22:D28,1,0))</f>
        <v>#N/A</v>
      </c>
      <c r="F29" s="523" t="n">
        <f aca="false">IF(AND(OR(A29="",A29="!!!!!!"),B29="",C29=""),"",IF(OR(AND(B29="",C29=""),ISERROR(C29+B29)),"!!!",($B29*$B$7+$C29*$C$7)/100))</f>
        <v>0.0031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Tetraspora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1138</v>
      </c>
      <c r="R29" s="513" t="n">
        <f aca="false">IF(ISTEXT(H29),"",(B29*$B$7/100)+(C29*$C$7/100))</f>
        <v>0.0031</v>
      </c>
      <c r="S29" s="514" t="n">
        <f aca="false">IF(OR(ISTEXT(H29),R29=0),"",IF(R29&lt;0.1,1,IF(R29&lt;1,2,IF(R29&lt;10,3,IF(R29&lt;50,4,IF(R29&gt;=50,5,""))))))</f>
        <v>1</v>
      </c>
      <c r="T29" s="514" t="n">
        <f aca="false">IF(ISERROR(S29*J29),0,S29*J29)</f>
        <v>12</v>
      </c>
      <c r="U29" s="514" t="n">
        <f aca="false">IF(ISERROR(S29*J29*K29),0,S29*J29*K29)</f>
        <v>12</v>
      </c>
      <c r="V29" s="530" t="n">
        <f aca="false">IF(ISERROR(S29*K29),0,S29*K29)</f>
        <v>1</v>
      </c>
      <c r="W29" s="531"/>
      <c r="X29" s="532"/>
      <c r="Y29" s="517" t="str">
        <f aca="false">IF(AND(ISNUMBER(F29),OR(A29="",A29="!!!!!!")),"!!!!!!",IF(A29="new.cod","NEWCOD",IF(AND((Z29=""),ISTEXT(A29),A29&lt;&gt;"!!!!!!"),A29,IF(Z29="","",INDEX('liste reference'!$A$6:$A$1174,Z29)))))</f>
        <v>TETSPX</v>
      </c>
      <c r="Z29" s="499" t="n">
        <f aca="false">IF(ISERROR(MATCH(A29,'liste reference'!$A$6:$A$1174,0)),IF(ISERROR(MATCH(A29,'liste reference'!$B$6:$B$1174,0)),"",(MATCH(A29,'liste reference'!$B$6:$B$1174,0))),(MATCH(A29,'liste reference'!$A$6:$A$1174,0)))</f>
        <v>107</v>
      </c>
    </row>
    <row r="30" customFormat="false" ht="12.75" hidden="false" customHeight="false" outlineLevel="0" collapsed="false">
      <c r="A30" s="518" t="s">
        <v>380</v>
      </c>
      <c r="B30" s="519" t="n">
        <v>0.1</v>
      </c>
      <c r="C30" s="520"/>
      <c r="D30" s="521" t="str">
        <f aca="false">IF(ISERROR(VLOOKUP($A30,'liste reference'!$A$6:$B$1174,2,0)),IF(ISERROR(VLOOKUP($A30,'liste reference'!$B$6:$B$1174,1,0)),"",VLOOKUP($A30,'liste reference'!$B$6:$B$1174,1,0)),VLOOKUP($A30,'liste reference'!$A$6:$B$1174,2,0))</f>
        <v>Tribonema sp.</v>
      </c>
      <c r="E30" s="522" t="e">
        <f aca="false">IF(D30="",0,VLOOKUP(D30,D$22:D29,1,0))</f>
        <v>#N/A</v>
      </c>
      <c r="F30" s="523" t="n">
        <f aca="false">IF(AND(OR(A30="",A30="!!!!!!"),B30="",C30=""),"",IF(OR(AND(B30="",C30=""),ISERROR(C30+B30)),"!!!",($B30*$B$7+$C30*$C$7)/100))</f>
        <v>0.031</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11</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Tribonema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1167</v>
      </c>
      <c r="R30" s="513" t="n">
        <f aca="false">IF(ISTEXT(H30),"",(B30*$B$7/100)+(C30*$C$7/100))</f>
        <v>0.031</v>
      </c>
      <c r="S30" s="514" t="n">
        <f aca="false">IF(OR(ISTEXT(H30),R30=0),"",IF(R30&lt;0.1,1,IF(R30&lt;1,2,IF(R30&lt;10,3,IF(R30&lt;50,4,IF(R30&gt;=50,5,""))))))</f>
        <v>1</v>
      </c>
      <c r="T30" s="514" t="n">
        <f aca="false">IF(ISERROR(S30*J30),0,S30*J30)</f>
        <v>11</v>
      </c>
      <c r="U30" s="514" t="n">
        <f aca="false">IF(ISERROR(S30*J30*K30),0,S30*J30*K30)</f>
        <v>22</v>
      </c>
      <c r="V30" s="530" t="n">
        <f aca="false">IF(ISERROR(S30*K30),0,S30*K30)</f>
        <v>2</v>
      </c>
      <c r="W30" s="531"/>
      <c r="X30" s="532"/>
      <c r="Y30" s="517" t="str">
        <f aca="false">IF(AND(ISNUMBER(F30),OR(A30="",A30="!!!!!!")),"!!!!!!",IF(A30="new.cod","NEWCOD",IF(AND((Z30=""),ISTEXT(A30),A30&lt;&gt;"!!!!!!"),A30,IF(Z30="","",INDEX('liste reference'!$A$6:$A$1174,Z30)))))</f>
        <v>TRISPX</v>
      </c>
      <c r="Z30" s="499" t="n">
        <f aca="false">IF(ISERROR(MATCH(A30,'liste reference'!$A$6:$A$1174,0)),IF(ISERROR(MATCH(A30,'liste reference'!$B$6:$B$1174,0)),"",(MATCH(A30,'liste reference'!$B$6:$B$1174,0))),(MATCH(A30,'liste reference'!$A$6:$A$1174,0)))</f>
        <v>115</v>
      </c>
    </row>
    <row r="31" customFormat="false" ht="12.75" hidden="false" customHeight="false" outlineLevel="0" collapsed="false">
      <c r="A31" s="518" t="s">
        <v>393</v>
      </c>
      <c r="B31" s="519" t="n">
        <v>0.1</v>
      </c>
      <c r="C31" s="520" t="n">
        <v>0.1</v>
      </c>
      <c r="D31" s="521" t="str">
        <f aca="false">IF(ISERROR(VLOOKUP($A31,'liste reference'!$A$6:$B$1174,2,0)),IF(ISERROR(VLOOKUP($A31,'liste reference'!$B$6:$B$1174,1,0)),"",VLOOKUP($A31,'liste reference'!$B$6:$B$1174,1,0)),VLOOKUP($A31,'liste reference'!$A$6:$B$1174,2,0))</f>
        <v>Vaucheria sp.</v>
      </c>
      <c r="E31" s="522" t="e">
        <f aca="false">IF(D31="",0,VLOOKUP(D31,D$22:D30,1,0))</f>
        <v>#N/A</v>
      </c>
      <c r="F31" s="523" t="n">
        <f aca="false">IF(AND(OR(A31="",A31="!!!!!!"),B31="",C31=""),"",IF(OR(AND(B31="",C31=""),ISERROR(C31+B31)),"!!!",($B31*$B$7+$C31*$C$7)/100))</f>
        <v>0.1</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Vaucheria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1169</v>
      </c>
      <c r="R31" s="513" t="n">
        <f aca="false">IF(ISTEXT(H31),"",(B31*$B$7/100)+(C31*$C$7/100))</f>
        <v>0.1</v>
      </c>
      <c r="S31" s="514" t="n">
        <f aca="false">IF(OR(ISTEXT(H31),R31=0),"",IF(R31&lt;0.1,1,IF(R31&lt;1,2,IF(R31&lt;10,3,IF(R31&lt;50,4,IF(R31&gt;=50,5,""))))))</f>
        <v>2</v>
      </c>
      <c r="T31" s="514" t="n">
        <f aca="false">IF(ISERROR(S31*J31),0,S31*J31)</f>
        <v>8</v>
      </c>
      <c r="U31" s="514" t="n">
        <f aca="false">IF(ISERROR(S31*J31*K31),0,S31*J31*K31)</f>
        <v>8</v>
      </c>
      <c r="V31" s="530" t="n">
        <f aca="false">IF(ISERROR(S31*K31),0,S31*K31)</f>
        <v>2</v>
      </c>
      <c r="W31" s="531"/>
      <c r="X31" s="532"/>
      <c r="Y31" s="517" t="str">
        <f aca="false">IF(AND(ISNUMBER(F31),OR(A31="",A31="!!!!!!")),"!!!!!!",IF(A31="new.cod","NEWCOD",IF(AND((Z31=""),ISTEXT(A31),A31&lt;&gt;"!!!!!!"),A31,IF(Z31="","",INDEX('liste reference'!$A$6:$A$1174,Z31)))))</f>
        <v>VAUSPX</v>
      </c>
      <c r="Z31" s="499" t="n">
        <f aca="false">IF(ISERROR(MATCH(A31,'liste reference'!$A$6:$A$1174,0)),IF(ISERROR(MATCH(A31,'liste reference'!$B$6:$B$1174,0)),"",(MATCH(A31,'liste reference'!$B$6:$B$1174,0))),(MATCH(A31,'liste reference'!$A$6:$A$1174,0)))</f>
        <v>118</v>
      </c>
    </row>
    <row r="32" customFormat="false" ht="12.75" hidden="false" customHeight="false" outlineLevel="0" collapsed="false">
      <c r="A32" s="518" t="s">
        <v>1807</v>
      </c>
      <c r="B32" s="519" t="n">
        <v>0.02</v>
      </c>
      <c r="C32" s="520" t="n">
        <v>0.1</v>
      </c>
      <c r="D32" s="521" t="str">
        <f aca="false">IF(ISERROR(VLOOKUP($A32,'liste reference'!$A$6:$B$1174,2,0)),IF(ISERROR(VLOOKUP($A32,'liste reference'!$B$6:$B$1174,1,0)),"",VLOOKUP($A32,'liste reference'!$B$6:$B$1174,1,0)),VLOOKUP($A32,'liste reference'!$A$6:$B$1174,2,0))</f>
        <v>Ranunculus trichophyllus</v>
      </c>
      <c r="E32" s="522" t="e">
        <f aca="false">IF(D32="",0,VLOOKUP(D32,D$22:D31,1,0))</f>
        <v>#N/A</v>
      </c>
      <c r="F32" s="523" t="n">
        <f aca="false">IF(AND(OR(A32="",A32="!!!!!!"),B32="",C32=""),"",IF(OR(AND(B32="",C32=""),ISERROR(C32+B32)),"!!!",($B32*$B$7+$C32*$C$7)/100))</f>
        <v>0.0752</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11</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Ranunculus trichophyllus</v>
      </c>
      <c r="M32" s="527"/>
      <c r="N32" s="527"/>
      <c r="O32" s="527"/>
      <c r="P32" s="528" t="s">
        <v>3464</v>
      </c>
      <c r="Q32" s="529" t="n">
        <f aca="false">IF(OR($A32="NEWCOD",$A32="!!!!!!"),IF(X32="","NoCod",X32),IF($A32="","",IF(ISERROR(VLOOKUP($A32,'liste reference'!$A$6:$H$1174,8,FALSE())),IF(ISERROR(VLOOKUP($A32,'liste reference'!$B$6:$H$1174,7,FALSE())),"",VLOOKUP($A32,'liste reference'!$B$6:$H$1174,7,FALSE())),VLOOKUP($A32,'liste reference'!$A$6:$H$1174,8,FALSE()))))</f>
        <v>1914</v>
      </c>
      <c r="R32" s="513" t="n">
        <f aca="false">IF(ISTEXT(H32),"",(B32*$B$7/100)+(C32*$C$7/100))</f>
        <v>0.0752</v>
      </c>
      <c r="S32" s="514" t="n">
        <f aca="false">IF(OR(ISTEXT(H32),R32=0),"",IF(R32&lt;0.1,1,IF(R32&lt;1,2,IF(R32&lt;10,3,IF(R32&lt;50,4,IF(R32&gt;=50,5,""))))))</f>
        <v>1</v>
      </c>
      <c r="T32" s="514" t="n">
        <f aca="false">IF(ISERROR(S32*J32),0,S32*J32)</f>
        <v>11</v>
      </c>
      <c r="U32" s="514" t="n">
        <f aca="false">IF(ISERROR(S32*J32*K32),0,S32*J32*K32)</f>
        <v>22</v>
      </c>
      <c r="V32" s="530" t="n">
        <f aca="false">IF(ISERROR(S32*K32),0,S32*K32)</f>
        <v>2</v>
      </c>
      <c r="W32" s="531"/>
      <c r="X32" s="532"/>
      <c r="Y32" s="517" t="str">
        <f aca="false">IF(AND(ISNUMBER(F32),OR(A32="",A32="!!!!!!")),"!!!!!!",IF(A32="new.cod","NEWCOD",IF(AND((Z32=""),ISTEXT(A32),A32&lt;&gt;"!!!!!!"),A32,IF(Z32="","",INDEX('liste reference'!$A$6:$A$1174,Z32)))))</f>
        <v>RANTRI</v>
      </c>
      <c r="Z32" s="499" t="n">
        <f aca="false">IF(ISERROR(MATCH(A32,'liste reference'!$A$6:$A$1174,0)),IF(ISERROR(MATCH(A32,'liste reference'!$B$6:$B$1174,0)),"",(MATCH(A32,'liste reference'!$B$6:$B$1174,0))),(MATCH(A32,'liste reference'!$A$6:$A$1174,0)))</f>
        <v>575</v>
      </c>
    </row>
    <row r="33" customFormat="false" ht="12.75" hidden="false" customHeight="false" outlineLevel="0" collapsed="false">
      <c r="A33" s="518" t="s">
        <v>1930</v>
      </c>
      <c r="B33" s="519" t="n">
        <v>0.02</v>
      </c>
      <c r="C33" s="520"/>
      <c r="D33" s="521" t="str">
        <f aca="false">IF(ISERROR(VLOOKUP($A33,'liste reference'!$A$6:$B$1174,2,0)),IF(ISERROR(VLOOKUP($A33,'liste reference'!$B$6:$B$1174,1,0)),"",VLOOKUP($A33,'liste reference'!$B$6:$B$1174,1,0)),VLOOKUP($A33,'liste reference'!$A$6:$B$1174,2,0))</f>
        <v>Agrostis stolonifera</v>
      </c>
      <c r="E33" s="522" t="e">
        <f aca="false">IF(D33="",0,VLOOKUP(D33,D$22:D32,1,0))</f>
        <v>#N/A</v>
      </c>
      <c r="F33" s="523" t="n">
        <f aca="false">IF(AND(OR(A33="",A33="!!!!!!"),B33="",C33=""),"",IF(OR(AND(B33="",C33=""),ISERROR(C33+B33)),"!!!",($B33*$B$7+$C33*$C$7)/100))</f>
        <v>0.0062</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Agrostis stolonifera</v>
      </c>
      <c r="M33" s="527"/>
      <c r="N33" s="527"/>
      <c r="O33" s="527"/>
      <c r="P33" s="528" t="s">
        <v>3464</v>
      </c>
      <c r="Q33" s="529" t="n">
        <f aca="false">IF(OR($A33="NEWCOD",$A33="!!!!!!"),IF(X33="","NoCod",X33),IF($A33="","",IF(ISERROR(VLOOKUP($A33,'liste reference'!$A$6:$H$1174,8,FALSE())),IF(ISERROR(VLOOKUP($A33,'liste reference'!$B$6:$H$1174,7,FALSE())),"",VLOOKUP($A33,'liste reference'!$B$6:$H$1174,7,FALSE())),VLOOKUP($A33,'liste reference'!$A$6:$H$1174,8,FALSE()))))</f>
        <v>1543</v>
      </c>
      <c r="R33" s="513" t="n">
        <f aca="false">IF(ISTEXT(H33),"",(B33*$B$7/100)+(C33*$C$7/100))</f>
        <v>0.0062</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AGRSTO</v>
      </c>
      <c r="Z33" s="499" t="n">
        <f aca="false">IF(ISERROR(MATCH(A33,'liste reference'!$A$6:$A$1174,0)),IF(ISERROR(MATCH(A33,'liste reference'!$B$6:$B$1174,0)),"",(MATCH(A33,'liste reference'!$B$6:$B$1174,0))),(MATCH(A33,'liste reference'!$A$6:$A$1174,0)))</f>
        <v>623</v>
      </c>
    </row>
    <row r="34" customFormat="false" ht="12.75" hidden="false" customHeight="false" outlineLevel="0" collapsed="false">
      <c r="A34" s="518" t="s">
        <v>2168</v>
      </c>
      <c r="B34" s="519" t="n">
        <v>0.01</v>
      </c>
      <c r="C34" s="520"/>
      <c r="D34" s="521" t="str">
        <f aca="false">IF(ISERROR(VLOOKUP($A34,'liste reference'!$A$6:$B$1174,2,0)),IF(ISERROR(VLOOKUP($A34,'liste reference'!$B$6:$B$1174,1,0)),"",VLOOKUP($A34,'liste reference'!$B$6:$B$1174,1,0)),VLOOKUP($A34,'liste reference'!$A$6:$B$1174,2,0))</f>
        <v>Phalaris arundinacea</v>
      </c>
      <c r="E34" s="522" t="e">
        <f aca="false">IF(D34="",0,VLOOKUP(D34,D$22:D33,1,0))</f>
        <v>#N/A</v>
      </c>
      <c r="F34" s="523" t="n">
        <f aca="false">IF(AND(OR(A34="",A34="!!!!!!"),B34="",C34=""),"",IF(OR(AND(B34="",C34=""),ISERROR(C34+B34)),"!!!",($B34*$B$7+$C34*$C$7)/100))</f>
        <v>0.0031</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Phalaris arundinacea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1577</v>
      </c>
      <c r="R34" s="513" t="n">
        <f aca="false">IF(ISTEXT(H34),"",(B34*$B$7/100)+(C34*$C$7/100))</f>
        <v>0.0031</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PHAARU</v>
      </c>
      <c r="Z34" s="499" t="n">
        <f aca="false">IF(ISERROR(MATCH(A34,'liste reference'!$A$6:$A$1174,0)),IF(ISERROR(MATCH(A34,'liste reference'!$B$6:$B$1174,0)),"",(MATCH(A34,'liste reference'!$B$6:$B$1174,0))),(MATCH(A34,'liste reference'!$A$6:$A$1174,0)))</f>
        <v>707</v>
      </c>
    </row>
    <row r="35" customFormat="false" ht="12.75" hidden="false" customHeight="false" outlineLevel="0" collapsed="false">
      <c r="A35" s="518" t="s">
        <v>2333</v>
      </c>
      <c r="B35" s="519" t="n">
        <v>0.1</v>
      </c>
      <c r="C35" s="520" t="n">
        <v>0.05</v>
      </c>
      <c r="D35" s="521" t="str">
        <f aca="false">IF(ISERROR(VLOOKUP($A35,'liste reference'!$A$6:$B$1174,2,0)),IF(ISERROR(VLOOKUP($A35,'liste reference'!$B$6:$B$1174,1,0)),"",VLOOKUP($A35,'liste reference'!$B$6:$B$1174,1,0)),VLOOKUP($A35,'liste reference'!$A$6:$B$1174,2,0))</f>
        <v>Arundo donax</v>
      </c>
      <c r="E35" s="522" t="e">
        <f aca="false">IF(D35="",0,VLOOKUP(D35,D$22:D34,1,0))</f>
        <v>#N/A</v>
      </c>
      <c r="F35" s="523" t="n">
        <f aca="false">IF(AND(OR(A35="",A35="!!!!!!"),B35="",C35=""),"",IF(OR(AND(B35="",C35=""),ISERROR(C35+B35)),"!!!",($B35*$B$7+$C35*$C$7)/100))</f>
        <v>0.0655</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Arundo donax</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1551</v>
      </c>
      <c r="R35" s="513" t="n">
        <f aca="false">IF(ISTEXT(H35),"",(B35*$B$7/100)+(C35*$C$7/100))</f>
        <v>0.0655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ARUDON</v>
      </c>
      <c r="Z35" s="499" t="n">
        <f aca="false">IF(ISERROR(MATCH(A35,'liste reference'!$A$6:$A$1174,0)),IF(ISERROR(MATCH(A35,'liste reference'!$B$6:$B$1174,0)),"",(MATCH(A35,'liste reference'!$B$6:$B$1174,0))),(MATCH(A35,'liste reference'!$A$6:$A$1174,0)))</f>
        <v>767</v>
      </c>
    </row>
    <row r="36" customFormat="false" ht="12.75" hidden="false" customHeight="false" outlineLevel="0" collapsed="false">
      <c r="A36" s="518" t="s">
        <v>2697</v>
      </c>
      <c r="B36" s="519" t="n">
        <v>0.01</v>
      </c>
      <c r="C36" s="520"/>
      <c r="D36" s="521" t="str">
        <f aca="false">IF(ISERROR(VLOOKUP($A36,'liste reference'!$A$6:$B$1174,2,0)),IF(ISERROR(VLOOKUP($A36,'liste reference'!$B$6:$B$1174,1,0)),"",VLOOKUP($A36,'liste reference'!$B$6:$B$1174,1,0)),VLOOKUP($A36,'liste reference'!$A$6:$B$1174,2,0))</f>
        <v>Lythrum salicaria</v>
      </c>
      <c r="E36" s="522" t="e">
        <f aca="false">IF(D36="",0,VLOOKUP(D36,D$22:D35,1,0))</f>
        <v>#N/A</v>
      </c>
      <c r="F36" s="523" t="n">
        <f aca="false">IF(AND(OR(A36="",A36="!!!!!!"),B36="",C36=""),"",IF(OR(AND(B36="",C36=""),ISERROR(C36+B36)),"!!!",($B36*$B$7+$C36*$C$7)/100))</f>
        <v>0.0031</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Lythrum salicaria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1823</v>
      </c>
      <c r="R36" s="513" t="n">
        <f aca="false">IF(ISTEXT(H36),"",(B36*$B$7/100)+(C36*$C$7/100))</f>
        <v>0.0031</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LYTSAL</v>
      </c>
      <c r="Z36" s="499" t="n">
        <f aca="false">IF(ISERROR(MATCH(A36,'liste reference'!$A$6:$A$1174,0)),IF(ISERROR(MATCH(A36,'liste reference'!$B$6:$B$1174,0)),"",(MATCH(A36,'liste reference'!$B$6:$B$1174,0))),(MATCH(A36,'liste reference'!$A$6:$A$1174,0)))</f>
        <v>902</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1.5743</v>
      </c>
      <c r="G83" s="452"/>
      <c r="H83" s="452"/>
      <c r="I83" s="452"/>
      <c r="J83" s="452"/>
      <c r="K83" s="452"/>
      <c r="L83" s="452"/>
      <c r="M83" s="514"/>
      <c r="N83" s="514"/>
      <c r="O83" s="514"/>
      <c r="P83" s="514"/>
      <c r="Q83" s="514"/>
      <c r="R83" s="514"/>
      <c r="S83" s="514"/>
      <c r="T83" s="514"/>
      <c r="U83" s="514"/>
      <c r="V83" s="514" t="n">
        <f aca="false">SUM(V23:V82)</f>
        <v>18</v>
      </c>
      <c r="W83" s="514"/>
      <c r="X83" s="552"/>
      <c r="Y83" s="552"/>
      <c r="Z83" s="553"/>
    </row>
    <row r="84" customFormat="false" ht="12.75" hidden="true" customHeight="false" outlineLevel="0" collapsed="false">
      <c r="A84" s="547" t="str">
        <f aca="false">A3</f>
        <v>Arc</v>
      </c>
      <c r="B84" s="481" t="str">
        <f aca="false">C3</f>
        <v>Berre l'Etang</v>
      </c>
      <c r="C84" s="554" t="str">
        <f aca="false">A4</f>
        <v>(Date)</v>
      </c>
      <c r="D84" s="555" t="n">
        <f aca="false">IF(OR(ISERROR(SUM($U$23:$U$82)/SUM($V$23:$V$82)),F7&lt;&gt;100),-1,SUM($U$23:$U$82)/SUM($V$23:$V$82))</f>
        <v>9.77777777777778</v>
      </c>
      <c r="E84" s="556" t="n">
        <f aca="false">O13</f>
        <v>14</v>
      </c>
      <c r="F84" s="481" t="n">
        <f aca="false">O14</f>
        <v>11</v>
      </c>
      <c r="G84" s="481" t="n">
        <f aca="false">O15</f>
        <v>7</v>
      </c>
      <c r="H84" s="481" t="n">
        <f aca="false">O16</f>
        <v>4</v>
      </c>
      <c r="I84" s="481" t="n">
        <f aca="false">O17</f>
        <v>0</v>
      </c>
      <c r="J84" s="557" t="n">
        <f aca="false">O8</f>
        <v>9.90909090909091</v>
      </c>
      <c r="K84" s="558" t="n">
        <f aca="false">O9</f>
        <v>2.53895273523072</v>
      </c>
      <c r="L84" s="559" t="n">
        <f aca="false">O10</f>
        <v>4</v>
      </c>
      <c r="M84" s="559" t="n">
        <f aca="false">O11</f>
        <v>13</v>
      </c>
      <c r="N84" s="558" t="n">
        <f aca="false">P8</f>
        <v>1.36363636363636</v>
      </c>
      <c r="O84" s="558" t="n">
        <f aca="false">P9</f>
        <v>0.481045692920835</v>
      </c>
      <c r="P84" s="559" t="n">
        <f aca="false">P10</f>
        <v>1</v>
      </c>
      <c r="Q84" s="559" t="n">
        <f aca="false">P11</f>
        <v>2</v>
      </c>
      <c r="R84" s="559" t="n">
        <f aca="false">F21</f>
        <v>1.5743</v>
      </c>
      <c r="S84" s="559" t="n">
        <f aca="false">L11</f>
        <v>0</v>
      </c>
      <c r="T84" s="559" t="n">
        <f aca="false">L12</f>
        <v>9</v>
      </c>
      <c r="U84" s="559" t="n">
        <f aca="false">L13</f>
        <v>0</v>
      </c>
      <c r="V84" s="560" t="n">
        <f aca="false">L15</f>
        <v>5</v>
      </c>
      <c r="W84" s="561" t="n">
        <f aca="false">L15</f>
        <v>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12</v>
      </c>
      <c r="U87" s="309"/>
      <c r="V87" s="309"/>
    </row>
    <row r="88" customFormat="false" ht="12.75" hidden="true" customHeight="false" outlineLevel="0" collapsed="false">
      <c r="C88" s="563"/>
      <c r="D88" s="563"/>
      <c r="E88" s="563"/>
      <c r="R88" s="309" t="s">
        <v>3445</v>
      </c>
      <c r="S88" s="309"/>
      <c r="T88" s="565" t="n">
        <f aca="false">VLOOKUP($T$91,($A$23:$U$82),21,FALSE())</f>
        <v>12</v>
      </c>
      <c r="U88" s="309"/>
      <c r="V88" s="309" t="n">
        <f aca="false">COUNTIF(V23:V82,T89)</f>
        <v>7</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10.25</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3474</v>
      </c>
      <c r="G17" s="600"/>
      <c r="H17" s="601" t="s">
        <v>3475</v>
      </c>
      <c r="I17" s="600"/>
    </row>
    <row r="18" customFormat="false" ht="15" hidden="false" customHeight="false" outlineLevel="0" collapsed="false">
      <c r="A18" s="594" t="s">
        <v>2960</v>
      </c>
      <c r="B18" s="596" t="s">
        <v>2961</v>
      </c>
      <c r="C18" s="597"/>
      <c r="D18" s="598"/>
      <c r="F18" s="602" t="s">
        <v>3476</v>
      </c>
      <c r="G18" s="603"/>
      <c r="H18" s="602" t="s">
        <v>3476</v>
      </c>
      <c r="I18" s="604"/>
    </row>
    <row r="19" customFormat="false" ht="15" hidden="false" customHeight="false" outlineLevel="0" collapsed="false">
      <c r="A19" s="594" t="s">
        <v>2962</v>
      </c>
      <c r="B19" s="596" t="s">
        <v>2963</v>
      </c>
      <c r="C19" s="597"/>
      <c r="D19" s="598"/>
      <c r="F19" s="605" t="s">
        <v>3477</v>
      </c>
      <c r="G19" s="8"/>
      <c r="H19" s="605" t="s">
        <v>3477</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3478</v>
      </c>
      <c r="G21" s="8"/>
      <c r="H21" s="605" t="s">
        <v>3478</v>
      </c>
      <c r="I21" s="606"/>
    </row>
    <row r="22" customFormat="false" ht="15" hidden="false" customHeight="false" outlineLevel="0" collapsed="false">
      <c r="A22" s="594" t="s">
        <v>2968</v>
      </c>
      <c r="B22" s="596" t="s">
        <v>2969</v>
      </c>
      <c r="C22" s="597"/>
      <c r="D22" s="598"/>
      <c r="F22" s="605" t="s">
        <v>3479</v>
      </c>
      <c r="G22" s="8"/>
      <c r="H22" s="605" t="s">
        <v>3479</v>
      </c>
      <c r="I22" s="606"/>
    </row>
    <row r="23" customFormat="false" ht="15" hidden="false" customHeight="false" outlineLevel="0" collapsed="false">
      <c r="A23" s="594" t="s">
        <v>1930</v>
      </c>
      <c r="B23" s="596" t="s">
        <v>1931</v>
      </c>
      <c r="C23" s="597"/>
      <c r="D23" s="598"/>
      <c r="F23" s="605" t="s">
        <v>3480</v>
      </c>
      <c r="G23" s="8"/>
      <c r="H23" s="605" t="s">
        <v>3480</v>
      </c>
      <c r="I23" s="606"/>
    </row>
    <row r="24" customFormat="false" ht="15" hidden="false" customHeight="false" outlineLevel="0" collapsed="false">
      <c r="A24" s="594" t="s">
        <v>2970</v>
      </c>
      <c r="B24" s="596" t="s">
        <v>2971</v>
      </c>
      <c r="C24" s="597"/>
      <c r="D24" s="598"/>
      <c r="F24" s="605" t="s">
        <v>3481</v>
      </c>
      <c r="G24" s="8"/>
      <c r="H24" s="605" t="s">
        <v>3481</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3482</v>
      </c>
      <c r="G26" s="8"/>
      <c r="H26" s="605" t="s">
        <v>3482</v>
      </c>
      <c r="I26" s="606"/>
    </row>
    <row r="27" customFormat="false" ht="15" hidden="false" customHeight="false" outlineLevel="0" collapsed="false">
      <c r="A27" s="594" t="s">
        <v>1326</v>
      </c>
      <c r="B27" s="596" t="s">
        <v>1327</v>
      </c>
      <c r="C27" s="597"/>
      <c r="D27" s="598"/>
      <c r="F27" s="607" t="s">
        <v>3483</v>
      </c>
      <c r="G27" s="608"/>
      <c r="H27" s="607" t="s">
        <v>3483</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3484</v>
      </c>
    </row>
    <row r="31" customFormat="false" ht="15" hidden="false" customHeight="false" outlineLevel="0" collapsed="false">
      <c r="A31" s="594" t="s">
        <v>2320</v>
      </c>
      <c r="B31" s="596" t="s">
        <v>2321</v>
      </c>
      <c r="C31" s="597"/>
      <c r="D31" s="598"/>
      <c r="F31" s="611" t="s">
        <v>3464</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3485</v>
      </c>
    </row>
    <row r="37" customFormat="false" ht="15" hidden="false" customHeight="false" outlineLevel="0" collapsed="false">
      <c r="A37" s="594" t="s">
        <v>2976</v>
      </c>
      <c r="B37" s="596" t="s">
        <v>2977</v>
      </c>
      <c r="C37" s="597"/>
      <c r="D37" s="598"/>
      <c r="F37" s="611" t="s">
        <v>3486</v>
      </c>
    </row>
    <row r="38" customFormat="false" ht="15" hidden="false" customHeight="false" outlineLevel="0" collapsed="false">
      <c r="A38" s="594" t="s">
        <v>2978</v>
      </c>
      <c r="B38" s="596" t="s">
        <v>2979</v>
      </c>
      <c r="C38" s="597"/>
      <c r="D38" s="598"/>
      <c r="F38" s="613" t="s">
        <v>3463</v>
      </c>
    </row>
    <row r="39" customFormat="false" ht="15" hidden="false" customHeight="false" outlineLevel="0" collapsed="false">
      <c r="A39" s="594" t="s">
        <v>2980</v>
      </c>
      <c r="B39" s="596" t="s">
        <v>2981</v>
      </c>
      <c r="C39" s="597"/>
      <c r="D39" s="598"/>
      <c r="F39" s="613" t="s">
        <v>3462</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2016-04-14T14:23:23Z</dcterms:modified>
  <cp:revision>0</cp:revision>
  <dc:subject/>
  <dc:title>Feuille d'aide au calcul de l'IBMR</dc:title>
</cp:coreProperties>
</file>