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Cadière à Marignane"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'Cadière à Marignane'!$A$1:$O$82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'Cadière à Marignane'!$A$23:$J$84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<sst xmlns="http://schemas.openxmlformats.org/spreadsheetml/2006/main" count="7342" uniqueCount="2728">
  <si>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</si>
  <si>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</si>
  <si>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</si>
  <si>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</si>
  <si>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</si>
  <si>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</si>
  <si>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</si>
  <si>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</si>
  <si>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</si>
  <si>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</si>
  <si>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</si>
  <si>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</si>
  <si>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</si>
  <si>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</si>
  <si>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</si>
  <si>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</si>
  <si>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</si>
  <si>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</si>
  <si>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</si>
  <si>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</si>
  <si>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</si>
  <si>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</si>
  <si>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</si>
  <si>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</si>
  <si>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</si>
  <si>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</si>
  <si>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</si>
  <si>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</si>
  <si>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</si>
  <si>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</si>
  <si>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</si>
  <si>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</si>
  <si>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</si>
  <si>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</si>
  <si>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</si>
  <si>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</si>
  <si>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</si>
  <si>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</si>
  <si>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</si>
  <si>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</si>
  <si>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</si>
  <si>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</si>
  <si>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</si>
  <si>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</si>
  <si>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</si>
  <si>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</si>
  <si>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</si>
  <si>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</si>
  <si>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</si>
  <si>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</si>
  <si>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</si>
  <si>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</si>
  <si>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</si>
  <si>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</si>
  <si>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</si>
  <si>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</si>
  <si>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</si>
  <si>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</si>
  <si>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</si>
  <si>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</si>
  <si>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</si>
  <si>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</si>
  <si>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</si>
  <si>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</si>
  <si>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</si>
  <si>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</si>
  <si>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</si>
  <si>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</si>
  <si>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</si>
  <si>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</si>
  <si>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</si>
  <si>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</si>
  <si>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</si>
  <si>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</si>
  <si>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</si>
  <si>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</si>
  <si>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</si>
  <si>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</si>
  <si>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</si>
  <si>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</si>
  <si>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</si>
  <si>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</si>
  <si>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</si>
  <si>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</si>
  <si>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</si>
  <si>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</si>
  <si>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</si>
  <si>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</si>
  <si>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</si>
  <si>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</si>
  <si>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</si>
  <si>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</si>
  <si>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</si>
  <si>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</si>
  <si>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</si>
  <si>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</si>
  <si>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</si>
  <si>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</si>
  <si>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</si>
  <si>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</si>
  <si>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</si>
  <si>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</si>
  <si>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</si>
  <si>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</si>
  <si>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</si>
  <si>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</si>
  <si>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</si>
  <si>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</si>
  <si>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</si>
  <si>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</si>
  <si>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</si>
  <si>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</si>
  <si>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</si>
  <si>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</si>
  <si>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</si>
  <si>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</si>
  <si>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</si>
  <si>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</si>
  <si>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</si>
  <si>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</si>
  <si>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</si>
  <si>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</si>
  <si>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</si>
  <si>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</si>
  <si>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</si>
  <si>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</si>
  <si>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</si>
  <si>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</si>
  <si>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</si>
  <si>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</si>
  <si>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</si>
  <si>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</si>
  <si>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</si>
  <si>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</si>
  <si>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</si>
  <si>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</si>
  <si>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</si>
  <si>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</si>
  <si>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</si>
  <si>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</si>
  <si>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</si>
  <si>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</si>
  <si>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</si>
  <si>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</si>
  <si>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</si>
  <si>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</si>
  <si>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</si>
  <si>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</si>
  <si>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</si>
  <si>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</si>
  <si>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</si>
  <si>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</si>
  <si>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</si>
  <si>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</si>
  <si>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</si>
  <si>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</si>
  <si>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</si>
  <si>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</si>
  <si>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</si>
  <si>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</si>
  <si>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</si>
  <si>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</si>
  <si>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</si>
  <si>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</si>
  <si>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</si>
  <si>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</si>
  <si>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</si>
  <si>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</si>
  <si>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</si>
  <si>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</si>
  <si>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</si>
  <si>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</si>
  <si>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</si>
  <si>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</si>
  <si>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</si>
  <si>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</si>
  <si>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</si>
  <si>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</si>
  <si>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</si>
  <si>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</si>
  <si>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</si>
  <si>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</si>
  <si>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</si>
  <si>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</si>
  <si>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</si>
  <si>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</si>
  <si>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</si>
  <si>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</si>
  <si>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</si>
  <si>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</si>
  <si>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</si>
  <si>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</si>
  <si>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</si>
  <si>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</si>
  <si>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</si>
  <si>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</si>
  <si>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</si>
  <si>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</si>
  <si>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</si>
  <si>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</si>
  <si>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</si>
  <si>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</si>
  <si>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</si>
  <si>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</si>
  <si>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</si>
  <si>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</si>
  <si>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</si>
  <si>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</si>
  <si>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</si>
  <si>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</si>
  <si>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</si>
  <si>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</si>
  <si>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</si>
  <si>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</si>
  <si>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</si>
  <si>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</si>
  <si>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</si>
  <si>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</si>
  <si>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</si>
  <si>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</si>
  <si>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</si>
  <si>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</si>
  <si>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</si>
  <si>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</si>
  <si>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</si>
  <si>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</si>
  <si>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</si>
  <si>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</si>
  <si>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</si>
  <si>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</si>
  <si>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</si>
  <si>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</si>
  <si>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</si>
  <si>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</si>
  <si>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</si>
  <si>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</si>
  <si>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</si>
  <si>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</si>
  <si>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</si>
  <si>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</si>
  <si>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</si>
  <si>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</si>
  <si>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</si>
  <si>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</si>
  <si>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</si>
  <si>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</si>
  <si>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</si>
  <si>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</si>
  <si>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</si>
  <si>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</si>
  <si>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</si>
  <si>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</si>
  <si>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</si>
  <si>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</si>
  <si>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</si>
  <si>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</si>
  <si>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</si>
  <si>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</si>
  <si>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</si>
  <si>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</si>
  <si>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</si>
  <si>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</si>
  <si>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</si>
  <si>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</si>
  <si>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</si>
  <si>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</si>
  <si>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</si>
  <si>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</si>
  <si>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</si>
  <si>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</si>
  <si>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</si>
  <si>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</si>
  <si>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</si>
  <si>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</si>
  <si>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</si>
  <si>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</si>
  <si>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</si>
  <si>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</si>
  <si>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</si>
  <si>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</si>
  <si>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</si>
  <si>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</si>
  <si>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</si>
  <si>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</si>
  <si>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</si>
  <si>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</si>
  <si>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</si>
  <si>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</si>
  <si>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</si>
  <si>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</si>
  <si>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</si>
  <si>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</si>
  <si>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</si>
  <si>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</si>
  <si>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</si>
  <si>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</si>
  <si>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</si>
  <si>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</si>
  <si>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</si>
  <si>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</si>
  <si>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</si>
  <si>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</si>
  <si>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</si>
  <si>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</si>
  <si>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</si>
  <si>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</si>
  <si>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</si>
  <si>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</si>
  <si>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</si>
  <si>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</si>
  <si>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</si>
  <si>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</si>
  <si>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</si>
  <si>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</si>
  <si>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</si>
  <si>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</si>
  <si>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</si>
  <si>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</si>
  <si>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</si>
  <si>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</si>
  <si>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</si>
  <si>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</si>
  <si>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</si>
  <si>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</si>
  <si>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</si>
  <si>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</si>
  <si>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</si>
  <si>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</si>
  <si>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</si>
  <si>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</si>
  <si>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</si>
  <si>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</si>
  <si>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</si>
  <si>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</si>
  <si>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</si>
  <si>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</si>
  <si>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</si>
  <si>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</si>
  <si>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</si>
  <si>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</si>
  <si>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</si>
  <si>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</si>
  <si>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</si>
  <si>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</si>
  <si>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</si>
  <si>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</si>
  <si>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</si>
  <si>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</si>
  <si>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</si>
  <si>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</si>
  <si>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</si>
  <si>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</si>
  <si>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</si>
  <si>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</si>
  <si>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</si>
  <si>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</si>
  <si>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</si>
  <si>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</si>
  <si>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</si>
  <si>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</si>
  <si>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</si>
  <si>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</si>
  <si>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</si>
  <si>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</si>
  <si>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</si>
  <si>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</si>
  <si>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</si>
  <si>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</si>
  <si>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</si>
  <si>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</si>
  <si>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</si>
  <si>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</si>
  <si>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</si>
  <si>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</si>
  <si>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</si>
  <si>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</si>
  <si>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</si>
  <si>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</si>
  <si>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</si>
  <si>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</si>
  <si>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</si>
  <si>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</si>
  <si>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</si>
  <si>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</si>
  <si>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</si>
  <si>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</si>
  <si>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</si>
  <si>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</si>
  <si>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</si>
  <si>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</si>
  <si>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</si>
  <si>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</si>
  <si>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</si>
  <si>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</si>
  <si>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</si>
  <si>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</si>
  <si>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</si>
  <si>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</si>
  <si>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</si>
  <si>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</si>
  <si>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</si>
  <si>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</si>
  <si>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</si>
  <si>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</si>
  <si>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</si>
  <si>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</si>
  <si>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</si>
  <si>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</si>
  <si>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</si>
  <si>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</si>
  <si>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</si>
  <si>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</si>
  <si>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</si>
  <si>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</si>
  <si>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</si>
  <si>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</si>
  <si>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</si>
  <si>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</si>
  <si>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</si>
  <si>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</si>
  <si>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</si>
  <si>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</si>
  <si>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</si>
  <si>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</si>
  <si>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</si>
  <si>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</si>
  <si>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</si>
  <si>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</si>
  <si>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</si>
  <si>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</si>
  <si>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</si>
  <si>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</si>
  <si>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</si>
  <si>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</si>
  <si>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</si>
  <si>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</si>
  <si>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</si>
  <si>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</si>
  <si>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</si>
  <si>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</si>
  <si>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</si>
  <si>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</si>
  <si>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</si>
  <si>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</si>
  <si>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</si>
  <si>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</si>
  <si>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</si>
  <si>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</si>
  <si>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</si>
  <si>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</si>
  <si>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</si>
  <si>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</si>
  <si>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</si>
  <si>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</si>
  <si>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</si>
  <si>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</si>
  <si>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</si>
  <si>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</si>
  <si>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</si>
  <si>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</si>
  <si>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</si>
  <si>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</si>
  <si>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</si>
  <si>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</si>
  <si>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</si>
  <si>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</si>
  <si>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</si>
  <si>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</si>
  <si>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</si>
  <si>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</si>
  <si>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</si>
  <si>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</si>
  <si>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</si>
  <si>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</si>
  <si>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</si>
  <si>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</si>
  <si>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</si>
  <si>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</si>
  <si>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</si>
  <si>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</si>
  <si>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</si>
  <si>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</si>
  <si>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</si>
  <si>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</si>
  <si>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</si>
  <si>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</si>
  <si>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</si>
  <si>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</si>
  <si>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</si>
  <si>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</si>
  <si>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</si>
  <si>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</si>
  <si>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</si>
  <si>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</si>
  <si>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</si>
  <si>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</si>
  <si>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</si>
  <si>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</si>
  <si>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</si>
  <si>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</si>
  <si>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</si>
  <si>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</si>
  <si>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</si>
  <si>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</si>
  <si>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</si>
  <si>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</si>
  <si>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</si>
  <si>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</si>
  <si>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</si>
  <si>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</si>
  <si>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</si>
  <si>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</si>
  <si>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</si>
  <si>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</si>
  <si>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</si>
  <si>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</si>
  <si>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</si>
  <si>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</si>
  <si>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</si>
  <si>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</si>
  <si>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</si>
  <si>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</si>
  <si>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</si>
  <si>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</si>
  <si>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</si>
  <si>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</si>
  <si>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</si>
  <si>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</si>
  <si>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</si>
  <si>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</si>
  <si>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</si>
  <si>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</si>
  <si>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</si>
  <si>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</si>
  <si>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</si>
  <si>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</si>
  <si>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</si>
  <si>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</si>
  <si>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</si>
  <si>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</si>
  <si>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</si>
  <si>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</si>
  <si>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</si>
  <si>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</si>
  <si>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</si>
  <si>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</si>
  <si>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</si>
  <si>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</si>
  <si>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</si>
  <si>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</si>
  <si>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</si>
  <si>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</si>
  <si>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</si>
  <si>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</si>
  <si>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</si>
  <si>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</si>
  <si>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</si>
  <si>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</si>
  <si>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</si>
  <si>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</si>
  <si>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</si>
  <si>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</si>
  <si>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</si>
  <si>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</si>
  <si>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</si>
  <si>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</si>
  <si>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</si>
  <si>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</si>
  <si>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</si>
  <si>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</si>
  <si>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</si>
  <si>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</si>
  <si>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</si>
  <si>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</si>
  <si>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</si>
  <si>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</si>
  <si>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</si>
  <si>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</si>
  <si>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</si>
  <si>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</si>
  <si>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</si>
  <si>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</si>
  <si>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</si>
  <si>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</si>
  <si>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</si>
  <si>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</si>
  <si>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</si>
  <si>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</si>
  <si>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</si>
  <si>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</si>
  <si>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</si>
  <si>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</si>
  <si>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</si>
  <si>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</si>
  <si>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</si>
  <si>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</si>
  <si>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</si>
  <si>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</si>
  <si>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</si>
  <si>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</si>
  <si>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</si>
  <si>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</si>
  <si>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</si>
  <si>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</si>
  <si>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</si>
  <si>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</si>
  <si>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</si>
  <si>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</si>
  <si>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</si>
  <si>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</si>
  <si>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</si>
  <si>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</si>
  <si>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</si>
  <si>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</si>
  <si>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</si>
  <si>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</si>
  <si>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</si>
  <si>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</si>
  <si>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</si>
  <si>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</si>
  <si>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</si>
  <si>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</si>
  <si>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</si>
  <si>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</si>
  <si>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</si>
  <si>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</si>
  <si>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</si>
  <si>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</si>
  <si>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</si>
  <si>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</si>
  <si>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</si>
  <si>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</si>
  <si>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</si>
  <si>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</si>
  <si>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</si>
  <si>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</si>
  <si>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</si>
  <si>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</si>
  <si>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</si>
  <si>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</si>
  <si>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</si>
  <si>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</si>
  <si>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</si>
  <si>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</si>
  <si>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</si>
  <si>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</si>
  <si>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</si>
  <si>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</si>
  <si>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</si>
  <si>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</si>
  <si>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</si>
  <si>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</si>
  <si>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</si>
  <si>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</si>
  <si>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</si>
  <si>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</si>
  <si>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</si>
  <si>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</si>
  <si>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</si>
  <si>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</si>
  <si>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</si>
  <si>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</si>
  <si>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</si>
  <si>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</si>
  <si>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</si>
  <si>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</si>
  <si>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</si>
  <si>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</si>
  <si>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</si>
  <si>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</si>
  <si>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</si>
  <si>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</si>
  <si>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</si>
  <si>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</si>
  <si>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</si>
  <si>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</si>
  <si>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</si>
  <si>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</si>
  <si>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</si>
  <si>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</si>
  <si>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</si>
  <si>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</si>
  <si>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</si>
  <si>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</si>
  <si>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</si>
  <si>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</si>
  <si>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</si>
  <si>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</si>
  <si>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</si>
  <si>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</si>
  <si>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</si>
  <si>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</si>
  <si>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</si>
  <si>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</si>
  <si>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</si>
  <si>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</si>
  <si>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</si>
  <si>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</si>
  <si>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</si>
  <si>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</si>
  <si>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</si>
  <si>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</si>
  <si>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</si>
  <si>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</si>
  <si>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</si>
  <si>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</si>
  <si>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</si>
  <si>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</si>
  <si>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</si>
  <si>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</si>
  <si>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</si>
  <si>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</si>
  <si>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</si>
  <si>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</si>
  <si>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</si>
  <si>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</si>
  <si>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</si>
  <si>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</si>
  <si>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</si>
  <si>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</si>
  <si>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</si>
  <si>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</si>
  <si>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</si>
  <si>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</si>
  <si>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</si>
  <si>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</si>
  <si>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</si>
  <si>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</si>
  <si>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</si>
  <si>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</si>
  <si>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</si>
  <si>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</si>
  <si>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</si>
  <si>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</si>
  <si>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</si>
  <si>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</si>
  <si>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</si>
  <si>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</si>
  <si>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</si>
  <si>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</si>
  <si>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</si>
  <si>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</si>
  <si>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</si>
  <si>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</si>
  <si>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</si>
  <si>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</si>
  <si>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</si>
  <si>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</si>
  <si>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</si>
  <si>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</si>
  <si>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</si>
  <si>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</si>
  <si>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</si>
  <si>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</si>
  <si>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</si>
  <si>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</si>
  <si>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</si>
  <si>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</si>
  <si>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</si>
  <si>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</si>
  <si>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</si>
  <si>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</si>
  <si>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</si>
  <si>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</si>
  <si>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</si>
  <si>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</si>
  <si>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</si>
  <si>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</si>
  <si>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</si>
  <si>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</si>
  <si>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</si>
  <si>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</si>
  <si>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</si>
  <si>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</si>
  <si>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</si>
  <si>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</si>
  <si>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</si>
  <si>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</si>
  <si>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</si>
  <si>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</si>
  <si>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</si>
  <si>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</si>
  <si>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</si>
  <si>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</si>
  <si>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</si>
  <si>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</si>
  <si>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</si>
  <si>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</si>
  <si>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</si>
  <si>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</si>
  <si>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</si>
  <si>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</si>
  <si>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</si>
  <si>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</si>
  <si>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</si>
  <si>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</si>
  <si>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</si>
  <si>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</si>
  <si>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</si>
  <si>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</si>
  <si>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</si>
  <si>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</si>
  <si>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</si>
  <si>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</si>
  <si>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</si>
  <si>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</si>
  <si>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</si>
  <si>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</si>
  <si>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</si>
  <si>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</si>
  <si>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</si>
  <si>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</si>
  <si>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</si>
  <si>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</si>
  <si>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</si>
  <si>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</si>
  <si>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</si>
  <si>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</si>
  <si>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</si>
  <si>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</si>
  <si>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</si>
  <si>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</si>
  <si>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</si>
  <si>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</si>
  <si>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</si>
  <si>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</si>
  <si>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</si>
  <si>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</si>
  <si>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</si>
  <si>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</si>
  <si>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</si>
  <si>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</si>
  <si>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</si>
  <si>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</si>
  <si>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</si>
  <si>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</si>
  <si>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</si>
  <si>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</si>
  <si>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</si>
  <si>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</si>
  <si>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</si>
  <si>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</si>
  <si>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</si>
  <si>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</si>
  <si>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</si>
  <si>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</si>
  <si>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</si>
  <si>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</si>
  <si>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</si>
  <si>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</si>
  <si>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</si>
  <si>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</si>
  <si>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</si>
  <si>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</si>
  <si>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</si>
  <si>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</si>
  <si>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</si>
  <si>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</si>
  <si>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</si>
  <si>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</si>
  <si>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</si>
  <si>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</si>
  <si>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</si>
  <si>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</si>
  <si>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</si>
  <si>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</si>
  <si>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</si>
  <si>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</si>
  <si>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</si>
  <si>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</si>
  <si>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</si>
  <si>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</si>
  <si>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</si>
  <si>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</si>
  <si>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</si>
  <si>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</si>
  <si>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</si>
  <si>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</si>
  <si>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</si>
  <si>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</si>
  <si>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</si>
  <si>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</si>
  <si>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</si>
  <si>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</si>
  <si>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</si>
  <si>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</si>
  <si>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</si>
  <si>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</si>
  <si>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</si>
  <si>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</si>
  <si>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</si>
  <si>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</si>
  <si>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</si>
  <si>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</si>
  <si>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</si>
  <si>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</si>
  <si>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</si>
  <si>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</si>
  <si>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</si>
  <si>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</si>
  <si>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</si>
  <si>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</si>
  <si>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</si>
  <si>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</si>
  <si>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</si>
  <si>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</si>
  <si>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</si>
  <si>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</si>
  <si>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</si>
  <si>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</si>
  <si>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</si>
  <si>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</si>
  <si>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</si>
  <si>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</si>
  <si>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</si>
  <si>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</si>
  <si>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</si>
  <si>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</si>
  <si>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</si>
  <si>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</si>
  <si>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</si>
  <si>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</si>
  <si>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</si>
  <si>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</si>
  <si>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</si>
  <si>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</si>
  <si>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</si>
  <si>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</si>
  <si>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</si>
  <si>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</si>
  <si>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</si>
  <si>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</si>
  <si>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</si>
  <si>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</si>
  <si>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</si>
  <si>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</si>
  <si>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</si>
  <si>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</si>
  <si>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</si>
  <si>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</si>
  <si>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</si>
  <si>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</si>
  <si>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</si>
  <si>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</si>
  <si>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</si>
  <si>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</si>
  <si>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</si>
  <si>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</si>
  <si>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</si>
  <si>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</si>
  <si>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</si>
  <si>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</si>
  <si>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</si>
  <si>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</si>
  <si>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</si>
  <si>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</si>
  <si>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</si>
  <si>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</si>
  <si>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</si>
  <si>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</si>
  <si>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</si>
  <si>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</si>
  <si>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</si>
  <si>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</si>
  <si>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</si>
  <si>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</si>
  <si>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</si>
  <si>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</si>
  <si>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</si>
  <si>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</si>
  <si>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</si>
  <si>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</si>
  <si>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</si>
  <si>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</si>
  <si>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</si>
  <si>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</si>
  <si>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</si>
  <si>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</si>
  <si>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</si>
  <si>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</si>
  <si>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</si>
  <si>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</si>
  <si>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</si>
  <si>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</si>
  <si>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</si>
  <si>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</si>
  <si>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</si>
  <si>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</si>
  <si>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</si>
  <si>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</si>
  <si>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</si>
  <si>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</si>
  <si>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</si>
  <si>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</si>
  <si>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</si>
  <si>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</si>
  <si>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</si>
  <si>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</si>
  <si>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</si>
  <si>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</si>
  <si>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</si>
  <si>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</si>
  <si>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</si>
  <si>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</si>
  <si>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</si>
  <si>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</si>
  <si>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</si>
  <si>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</si>
  <si>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</si>
  <si>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</si>
  <si>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</si>
  <si>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</si>
  <si>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</si>
  <si>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</si>
  <si>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</si>
  <si>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</si>
  <si>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</si>
  <si>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</si>
  <si>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</si>
  <si>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</si>
  <si>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</si>
  <si>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</si>
  <si>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</si>
  <si>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</si>
  <si>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</si>
  <si>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</si>
  <si>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</si>
  <si>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</si>
  <si>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</si>
  <si>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</si>
  <si>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</si>
  <si>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</si>
  <si>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</si>
  <si>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</si>
  <si>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</si>
  <si>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</si>
  <si>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</si>
  <si>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</si>
  <si>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</si>
  <si>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</si>
  <si>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</si>
  <si>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</si>
  <si>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</si>
  <si>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</si>
  <si>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</si>
  <si>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</si>
  <si>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</si>
  <si>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</si>
  <si>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</si>
  <si>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</si>
  <si>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</si>
  <si>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</si>
  <si>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</si>
  <si>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</si>
  <si>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</si>
  <si>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</si>
  <si>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</si>
  <si>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</si>
  <si>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</si>
  <si>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</si>
  <si>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</si>
  <si>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</si>
  <si>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</si>
  <si>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</si>
  <si>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</si>
  <si>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</si>
  <si>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</si>
  <si>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</si>
  <si>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</si>
  <si>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</si>
  <si>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</si>
  <si>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</si>
  <si>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</si>
  <si>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</si>
  <si>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</si>
  <si>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</si>
  <si>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</si>
  <si>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</si>
  <si>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</si>
  <si>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</si>
  <si>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</si>
  <si>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</si>
  <si>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</si>
  <si>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</si>
  <si>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</si>
  <si>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</si>
  <si>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</si>
  <si>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</si>
  <si>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</si>
  <si>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</si>
  <si>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</si>
  <si>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</si>
  <si>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</si>
  <si>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</si>
  <si>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</si>
  <si>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</si>
  <si>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</si>
  <si>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</si>
  <si>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</si>
  <si>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</si>
  <si>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</si>
  <si>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</si>
  <si>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</si>
  <si>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</si>
  <si>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</si>
  <si>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</si>
  <si>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</si>
  <si>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</si>
  <si>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</si>
  <si>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</si>
  <si>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</si>
  <si>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</si>
  <si>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</si>
  <si>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</si>
  <si>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</si>
  <si>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</si>
  <si>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</si>
  <si>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</si>
  <si>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</si>
  <si>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</si>
  <si>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</si>
  <si>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</si>
  <si>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</si>
  <si>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</si>
  <si>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</si>
  <si>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</si>
  <si>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</si>
  <si>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</si>
  <si>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</si>
  <si>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</si>
  <si>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</si>
  <si>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</si>
  <si>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</si>
  <si>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</si>
  <si>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</si>
  <si>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</si>
  <si>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</si>
  <si>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</si>
  <si>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</si>
  <si>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</si>
  <si>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</si>
  <si>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</si>
  <si>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</si>
  <si>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</si>
  <si>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</si>
  <si>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</si>
  <si>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</si>
  <si>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</si>
  <si>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</si>
  <si>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</si>
  <si>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</si>
  <si>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</si>
  <si>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</si>
  <si>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</si>
  <si>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</si>
  <si>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</si>
  <si>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</si>
  <si>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</si>
  <si>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</si>
  <si>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</si>
  <si>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</si>
  <si>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</si>
  <si>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</si>
  <si>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</si>
  <si>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</si>
  <si>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</si>
  <si>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</si>
  <si>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</si>
  <si>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</si>
  <si>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</si>
  <si>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</si>
  <si>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</si>
  <si>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</si>
  <si>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</si>
  <si>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</si>
  <si>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</si>
  <si>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</si>
  <si>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</si>
  <si>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</si>
  <si>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</si>
  <si>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</si>
  <si>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</si>
  <si>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</si>
  <si>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</si>
  <si>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</si>
  <si>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</si>
  <si>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</si>
  <si>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</si>
  <si>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</si>
  <si>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</si>
  <si>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</si>
  <si>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</si>
  <si>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</si>
  <si>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</si>
  <si>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</si>
  <si>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</si>
  <si>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</si>
  <si>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</si>
  <si>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</si>
  <si>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</si>
  <si>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</si>
  <si>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</si>
  <si>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</si>
  <si>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</si>
  <si>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</si>
  <si>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</si>
  <si>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</si>
  <si>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</si>
  <si>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</si>
  <si>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</si>
  <si>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</si>
  <si>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</si>
  <si>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</si>
  <si>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</si>
  <si>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</si>
  <si>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</si>
  <si>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</si>
  <si>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</si>
  <si>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</si>
  <si>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</si>
  <si>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</si>
  <si>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</si>
  <si>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</si>
  <si>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</si>
  <si>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</si>
  <si>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</si>
  <si>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</si>
  <si>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</si>
  <si>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</si>
  <si>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</si>
  <si>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</si>
  <si>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</si>
  <si>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</si>
  <si>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</si>
  <si>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</si>
  <si>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</si>
  <si>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</si>
  <si>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</si>
  <si>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</si>
  <si>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</si>
  <si>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</si>
  <si>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</si>
  <si>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</si>
  <si>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</si>
  <si>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</si>
  <si>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</si>
  <si>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</si>
  <si>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</si>
  <si>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</si>
  <si>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</si>
  <si>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</si>
  <si>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</si>
  <si>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</si>
  <si>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</si>
  <si>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</si>
  <si>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</si>
  <si>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</si>
  <si>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</si>
  <si>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</si>
  <si>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</si>
  <si>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</si>
  <si>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</si>
  <si>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</si>
  <si>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</si>
  <si>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</si>
  <si>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</si>
  <si>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</si>
  <si>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</si>
  <si>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</si>
  <si>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</si>
  <si>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</si>
  <si>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</si>
  <si>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</si>
  <si>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</si>
  <si>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</si>
  <si>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</si>
  <si>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</si>
  <si>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</si>
  <si>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</si>
  <si>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</si>
  <si>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</si>
  <si>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</si>
  <si>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</si>
  <si>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</si>
  <si>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</si>
  <si>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</si>
  <si>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</si>
  <si>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</si>
  <si>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</si>
  <si>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</si>
  <si>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</si>
  <si>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</si>
  <si>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</si>
  <si>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</si>
  <si>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</si>
  <si>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</si>
  <si>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</si>
  <si>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</si>
  <si>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</si>
  <si>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</si>
  <si>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</si>
  <si>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</si>
  <si>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</si>
  <si>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</si>
  <si>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</si>
  <si>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</si>
  <si>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</si>
  <si>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</si>
  <si>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</si>
  <si>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</si>
  <si>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</si>
  <si>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</si>
  <si>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</si>
  <si>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</si>
  <si>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</si>
  <si>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</si>
  <si>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</si>
  <si>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</si>
  <si>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</si>
  <si>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</si>
  <si>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</si>
  <si>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</si>
  <si>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</si>
  <si>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</si>
  <si>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</si>
  <si>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</si>
  <si>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</si>
  <si>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</si>
  <si>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</si>
  <si>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</si>
  <si>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</si>
  <si>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</si>
  <si>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</si>
  <si>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</si>
  <si>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</si>
  <si>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</si>
  <si>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</si>
  <si>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</si>
  <si>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</si>
  <si>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</si>
  <si>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</si>
  <si>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</si>
  <si>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</si>
  <si>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</si>
  <si>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</si>
  <si>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</si>
  <si>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</si>
  <si>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</si>
  <si>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</si>
  <si>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</si>
  <si>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</si>
  <si>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</si>
  <si>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</si>
  <si>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</si>
  <si>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</si>
  <si>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</si>
  <si>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</si>
  <si>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</si>
  <si>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</si>
  <si>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</si>
  <si>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</si>
  <si>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</si>
  <si>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</si>
  <si>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</si>
  <si>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</si>
  <si>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</si>
  <si>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</si>
  <si>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</si>
  <si>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</si>
  <si>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</si>
  <si>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</si>
  <si>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</si>
  <si>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</si>
  <si>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</si>
  <si>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</si>
  <si>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</si>
  <si>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</si>
  <si>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</si>
  <si>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</si>
  <si>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</si>
  <si>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</si>
  <si>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</si>
  <si>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</si>
  <si>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</si>
  <si>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</si>
  <si>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</si>
  <si>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</si>
  <si>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</si>
  <si>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</si>
  <si>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</si>
  <si>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</si>
  <si>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</si>
  <si>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</si>
  <si>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</si>
  <si>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</si>
  <si>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</si>
  <si>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</si>
  <si>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</si>
  <si>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</si>
  <si>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</si>
  <si>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</si>
  <si>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</si>
  <si>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</si>
  <si>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</si>
  <si>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</si>
  <si>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</si>
  <si>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</si>
  <si>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</si>
  <si>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</si>
  <si>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</si>
  <si>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</si>
  <si>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</si>
  <si>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</si>
  <si>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</si>
  <si>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</si>
  <si>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</si>
  <si>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</si>
  <si>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</si>
  <si>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</si>
  <si>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</si>
  <si>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</si>
  <si>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</si>
  <si>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</si>
  <si>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</si>
  <si>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</si>
  <si>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</si>
  <si>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</si>
  <si>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</si>
  <si>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</si>
  <si>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</si>
  <si>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</si>
  <si>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</si>
  <si>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</si>
  <si>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</si>
  <si>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</si>
  <si>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</si>
  <si>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</si>
  <si>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</si>
  <si>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</si>
  <si>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</si>
  <si>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</si>
  <si>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</si>
  <si>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</si>
  <si>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</si>
  <si>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</si>
  <si>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</si>
  <si>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</si>
  <si>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</si>
  <si>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</si>
  <si>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</si>
  <si>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</si>
  <si>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</si>
  <si>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</si>
  <si>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</si>
  <si>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</si>
  <si>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</si>
  <si>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</si>
  <si>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</si>
  <si>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</si>
  <si>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</si>
  <si>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</si>
  <si>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</si>
  <si>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</si>
  <si>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</si>
  <si>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</si>
  <si>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</si>
  <si>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</si>
  <si>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</si>
  <si>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</si>
  <si>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</si>
  <si>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</si>
  <si>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</si>
  <si>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</si>
  <si>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</si>
  <si>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</si>
  <si>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</si>
  <si>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</si>
  <si>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</si>
  <si>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</si>
  <si>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</si>
  <si>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</si>
  <si>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</si>
  <si>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</si>
  <si>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</si>
  <si>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</si>
  <si>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</si>
  <si>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</si>
  <si>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</si>
  <si>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</si>
  <si>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</si>
  <si>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</si>
  <si>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</si>
  <si>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</si>
  <si>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</si>
  <si>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</si>
  <si>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</si>
  <si>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</si>
  <si>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</si>
  <si>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</si>
  <si>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</si>
  <si>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</si>
  <si>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</si>
  <si>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</si>
  <si>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</si>
  <si>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</si>
  <si>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</si>
  <si>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</si>
  <si>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</si>
  <si>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</si>
  <si>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</si>
  <si>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</si>
  <si>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</si>
  <si>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</si>
  <si>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</si>
  <si>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</si>
  <si>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</si>
  <si>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</si>
  <si>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</si>
  <si>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</si>
  <si>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</si>
  <si>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</si>
  <si>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</si>
  <si>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</si>
  <si>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</si>
  <si>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</si>
  <si>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</si>
  <si>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</si>
  <si>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</si>
  <si>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</si>
  <si>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</si>
  <si>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</si>
  <si>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</si>
  <si>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</si>
  <si>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</si>
  <si>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</si>
  <si>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</si>
  <si>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</si>
  <si>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</si>
  <si>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</si>
  <si>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</si>
  <si>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</si>
  <si>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</si>
  <si>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</si>
  <si>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</si>
  <si>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</si>
  <si>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</si>
  <si>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</si>
  <si>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</si>
  <si>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</si>
  <si>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</si>
  <si>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</si>
  <si>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</si>
  <si>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</si>
  <si>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</si>
  <si>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</si>
  <si>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</si>
  <si>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</si>
  <si>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</si>
  <si>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</si>
  <si>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</si>
  <si>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</si>
  <si>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</si>
  <si>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</si>
  <si>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</si>
  <si>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</si>
  <si>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</si>
  <si>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</si>
  <si>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</si>
  <si>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</si>
  <si>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</si>
  <si>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</si>
  <si>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</si>
  <si>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</si>
  <si>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</si>
  <si>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</si>
  <si>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</si>
  <si>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</si>
  <si>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</si>
  <si>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</si>
  <si>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</si>
  <si>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</si>
  <si>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</si>
  <si>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</si>
  <si>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</si>
  <si>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</si>
  <si>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</si>
  <si>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</si>
  <si>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</si>
  <si>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</si>
  <si>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</si>
  <si>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</si>
  <si>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</si>
  <si>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</si>
  <si>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</si>
  <si>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</si>
  <si>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</si>
  <si>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</si>
  <si>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</si>
  <si>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</si>
  <si>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</si>
  <si>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</si>
  <si>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</si>
  <si>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</si>
  <si>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</si>
  <si>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</si>
  <si>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</si>
  <si>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</si>
  <si>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</si>
  <si>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</si>
  <si>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</si>
  <si>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</si>
  <si>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</si>
  <si>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</si>
  <si>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</si>
  <si>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</si>
  <si>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</si>
  <si>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</si>
  <si>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</si>
  <si>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</si>
  <si>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</si>
  <si>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</si>
  <si>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</si>
  <si>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</si>
  <si>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</si>
  <si>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</si>
  <si>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</si>
  <si>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</si>
  <si>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</si>
  <si>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</si>
  <si>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</si>
  <si>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</si>
  <si>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</si>
  <si>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</si>
  <si>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</si>
  <si>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</si>
  <si>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</si>
  <si>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</si>
  <si>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</si>
  <si>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</si>
  <si>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</si>
  <si>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</si>
  <si>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</si>
  <si>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</si>
  <si>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</si>
  <si>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</si>
  <si>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</si>
  <si>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</si>
  <si>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</si>
  <si>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</si>
  <si>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</si>
  <si>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</si>
  <si>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</si>
  <si>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</si>
  <si>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</si>
  <si>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</si>
  <si>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</si>
  <si>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</si>
  <si>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</si>
  <si>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</si>
  <si>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</si>
  <si>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</si>
  <si>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</si>
  <si>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</si>
  <si>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</si>
  <si>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</si>
  <si>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</si>
  <si>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</si>
  <si>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</si>
  <si>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</si>
  <si>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</si>
  <si>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</si>
  <si>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</si>
  <si>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</si>
  <si>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</si>
  <si>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</si>
  <si>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</si>
  <si>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</si>
  <si>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</si>
  <si>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</si>
  <si>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</si>
  <si>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</si>
  <si>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</si>
  <si>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</si>
  <si>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</si>
  <si>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</si>
  <si>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</si>
  <si>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</si>
  <si>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</si>
  <si>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</si>
  <si>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</si>
  <si>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</si>
  <si>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</si>
  <si>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</si>
  <si>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</si>
  <si>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</si>
  <si>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</si>
  <si>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</si>
  <si>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</si>
  <si>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</si>
  <si>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</si>
  <si>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</si>
  <si>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</si>
  <si>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</si>
  <si>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</si>
  <si>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</si>
  <si>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</si>
  <si>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</si>
  <si>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</si>
  <si>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</si>
  <si>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</si>
  <si>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</si>
  <si>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</si>
  <si>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</si>
  <si>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</si>
  <si>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</si>
  <si>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</si>
  <si>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</si>
  <si>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</si>
  <si>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</si>
  <si>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</si>
  <si>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</si>
  <si>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</si>
  <si>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</si>
  <si>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</si>
  <si>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</si>
  <si>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</si>
  <si>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</si>
  <si>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</si>
  <si>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</si>
  <si>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</si>
  <si>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</si>
  <si>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</si>
  <si>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</si>
  <si>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</si>
  <si>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</si>
  <si>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</si>
  <si>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</si>
  <si>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</si>
  <si>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</si>
  <si>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</si>
  <si>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</si>
  <si>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</si>
  <si>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</si>
  <si>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</si>
  <si>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</si>
  <si>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</si>
  <si>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</si>
  <si>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</si>
  <si>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</si>
  <si>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</si>
  <si>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</si>
  <si>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</si>
  <si>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</si>
  <si>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</si>
  <si>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</si>
  <si>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</si>
  <si>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</si>
  <si>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</si>
  <si>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</si>
  <si>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</si>
  <si>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</si>
  <si>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</si>
  <si>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</si>
  <si>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</si>
  <si>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</si>
  <si>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</si>
  <si>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</si>
  <si>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</si>
  <si>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</si>
  <si>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</si>
  <si>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</si>
  <si>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</si>
  <si>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</si>
  <si>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</si>
  <si>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</si>
  <si>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</si>
  <si>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</si>
  <si>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</si>
  <si>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</si>
  <si>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</si>
  <si>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</si>
  <si>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</si>
  <si>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</si>
  <si>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</si>
  <si>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</si>
  <si>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</si>
  <si>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</si>
  <si>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</si>
  <si>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</si>
  <si>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</si>
  <si>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</si>
  <si>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</si>
  <si>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</si>
  <si>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</si>
  <si>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</si>
  <si>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</si>
  <si>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</si>
  <si>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</si>
  <si>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</si>
  <si>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</si>
  <si>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</si>
  <si>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</si>
  <si>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</si>
  <si>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</si>
  <si>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</si>
  <si>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</si>
  <si>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</si>
  <si>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</si>
  <si>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</si>
  <si>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</si>
  <si>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</si>
  <si>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</si>
  <si>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</si>
  <si>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</si>
  <si>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</si>
  <si>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</si>
  <si>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</si>
  <si>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</si>
  <si>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</si>
  <si>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</si>
  <si>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</si>
  <si>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</si>
  <si>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</si>
  <si>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</si>
  <si>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</si>
  <si>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</si>
  <si>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</si>
  <si>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</si>
  <si>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</si>
  <si>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</si>
  <si>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</si>
  <si>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</si>
  <si>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</si>
  <si>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</si>
  <si>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</si>
  <si>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</si>
  <si>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</si>
  <si>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</si>
  <si>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</si>
  <si>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</si>
  <si>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</si>
  <si>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</si>
  <si>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</si>
  <si>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</si>
  <si>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</si>
  <si>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</si>
  <si>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</si>
  <si>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</si>
  <si>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</si>
  <si>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</si>
  <si>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</si>
  <si>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</si>
  <si>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</si>
  <si>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</si>
  <si>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</si>
  <si>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</si>
  <si>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</si>
  <si>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</si>
  <si>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</si>
  <si>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</si>
  <si>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</si>
  <si>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</si>
  <si>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</si>
  <si>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</si>
  <si>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</si>
  <si>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</si>
  <si>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</si>
  <si>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</si>
  <si>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</si>
  <si>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</si>
  <si>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</si>
  <si>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</si>
  <si>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</si>
  <si>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</si>
  <si>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</si>
  <si>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</si>
  <si>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</si>
  <si>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</si>
  <si>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</si>
  <si>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</si>
  <si>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</si>
  <si>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</si>
  <si>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</si>
  <si>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</si>
  <si>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</si>
  <si>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</si>
  <si>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</si>
  <si>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</si>
  <si>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</si>
  <si>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</si>
  <si>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</si>
  <si>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</si>
  <si>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</si>
  <si>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</si>
  <si>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</si>
  <si>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</si>
  <si>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</si>
  <si>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</si>
  <si>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</si>
  <si>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</si>
  <si>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</si>
  <si>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</si>
  <si>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</si>
  <si>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</si>
  <si>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</si>
  <si>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</si>
  <si>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</si>
  <si>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</si>
  <si>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</si>
  <si>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</si>
  <si>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</si>
  <si>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</si>
  <si>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</si>
  <si>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</si>
  <si>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</si>
  <si>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</si>
  <si>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</si>
  <si>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</si>
  <si>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</si>
  <si>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</si>
  <si>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</si>
  <si>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</si>
  <si>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</si>
  <si>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</si>
  <si>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</si>
  <si>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</si>
  <si>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</si>
  <si>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</si>
  <si>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</si>
  <si>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</si>
  <si>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</si>
  <si>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</si>
  <si>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</si>
  <si>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</si>
  <si>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</si>
  <si>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</si>
  <si>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</si>
  <si>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</si>
  <si>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</si>
  <si>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</si>
  <si>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</si>
  <si>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</si>
  <si>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</si>
  <si>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</si>
  <si>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</si>
  <si>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</si>
  <si>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</si>
  <si>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</si>
  <si>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</si>
  <si>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</si>
  <si>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</si>
  <si>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</si>
  <si>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</si>
  <si>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</si>
  <si>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</si>
  <si>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</si>
  <si>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</si>
  <si>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</si>
  <si>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</si>
  <si>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</si>
  <si>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</si>
  <si>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</si>
  <si>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</si>
  <si>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</si>
  <si>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</si>
  <si>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</si>
  <si>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</si>
  <si>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</si>
  <si>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</si>
  <si>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</si>
  <si>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</si>
  <si>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</si>
  <si>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</si>
  <si>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</si>
  <si>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</si>
  <si>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</si>
  <si>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</si>
  <si>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</si>
  <si>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</si>
  <si>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</si>
  <si>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</si>
  <si>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</si>
  <si>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</si>
  <si>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</si>
  <si>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</si>
  <si>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</si>
  <si>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</si>
  <si>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</si>
  <si>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</si>
  <si>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</si>
  <si>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</si>
  <si>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</si>
  <si>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</si>
  <si>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</si>
  <si>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</si>
  <si>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</si>
  <si>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</si>
  <si>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</si>
  <si>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</si>
  <si>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</si>
  <si>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</si>
  <si>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</si>
  <si>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</si>
  <si>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</si>
  <si>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</si>
  <si>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</si>
  <si>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</si>
  <si>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</si>
  <si>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</si>
  <si>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</si>
  <si>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</si>
  <si>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</si>
  <si>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</si>
  <si>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</si>
  <si>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</si>
  <si>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</si>
  <si>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</si>
  <si>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</si>
  <si>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</si>
  <si>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</si>
  <si>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</si>
  <si>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</si>
  <si>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</si>
  <si>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</si>
  <si>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</si>
  <si>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</si>
  <si>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</si>
  <si>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</si>
  <si>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</si>
  <si>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</si>
  <si>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</si>
  <si>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</si>
  <si>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</si>
  <si>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</si>
  <si>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</si>
  <si>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</si>
  <si>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</si>
  <si>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</si>
  <si>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</si>
  <si>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</si>
  <si>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</si>
  <si>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</si>
  <si>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</si>
  <si>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</si>
  <si>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</si>
  <si>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</si>
  <si>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</si>
  <si>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</si>
  <si>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</si>
  <si>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</si>
  <si>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</si>
  <si>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</si>
  <si>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</si>
  <si>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</si>
  <si>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</si>
  <si>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</si>
  <si>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</si>
  <si>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</si>
  <si>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</si>
  <si>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</si>
  <si>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</si>
  <si>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</si>
  <si>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</si>
  <si>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</si>
  <si>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</si>
  <si>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</si>
  <si>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</si>
  <si>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</si>
  <si>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</si>
  <si>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</si>
  <si>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</si>
  <si>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</si>
  <si>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</si>
  <si>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</si>
  <si>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</si>
  <si>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</si>
  <si>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</si>
  <si>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</si>
  <si>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</si>
  <si>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</si>
  <si>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</si>
  <si>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</si>
  <si>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</si>
  <si>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</si>
  <si>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</si>
  <si>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</si>
  <si>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</si>
  <si>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</si>
  <si>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</si>
  <si>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</si>
  <si>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</si>
  <si>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</si>
  <si>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</si>
  <si>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</si>
  <si>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</si>
  <si>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</si>
  <si>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</si>
  <si>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</si>
  <si>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</si>
  <si>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</si>
  <si>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</si>
  <si>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</si>
  <si>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</si>
  <si>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</si>
  <si>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</si>
  <si>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</si>
  <si>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</si>
  <si>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</si>
  <si>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</si>
  <si>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</si>
  <si>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</si>
  <si>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</si>
  <si>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</si>
  <si>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</si>
  <si>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</si>
  <si>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</si>
  <si>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</si>
  <si>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</si>
  <si>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</si>
  <si>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</si>
  <si>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</si>
  <si>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</si>
  <si>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</si>
  <si>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</si>
  <si>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</si>
  <si>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</si>
  <si>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</si>
  <si>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</si>
  <si>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</si>
  <si>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</si>
  <si>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</si>
  <si>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</si>
  <si>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</si>
  <si>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</si>
  <si>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</si>
  <si>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</si>
  <si>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</si>
  <si>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</si>
  <si>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</si>
  <si>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</si>
  <si>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</si>
  <si>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</si>
  <si>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</si>
  <si>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</si>
  <si>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</si>
  <si>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</si>
  <si>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</si>
  <si>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</si>
  <si>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</si>
  <si>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</si>
  <si>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</si>
  <si>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</si>
  <si>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</si>
  <si>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</si>
  <si>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</si>
  <si>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</si>
  <si>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</si>
  <si>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</si>
  <si>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</si>
  <si>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</si>
  <si>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</si>
  <si>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</si>
  <si>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</si>
  <si>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</si>
  <si>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</si>
  <si>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</si>
  <si>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</si>
  <si>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</si>
  <si>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</si>
  <si>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</si>
  <si>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</si>
  <si>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</si>
  <si>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</si>
  <si>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</si>
  <si>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</si>
  <si>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</si>
  <si>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</si>
  <si>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</si>
  <si>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</si>
  <si>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</si>
  <si>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</si>
  <si>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</si>
  <si>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</si>
  <si>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</si>
  <si>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</si>
  <si>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</si>
  <si>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</si>
  <si>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</si>
  <si>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</si>
  <si>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</si>
  <si>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</si>
  <si>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</si>
  <si>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</si>
  <si>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</si>
  <si>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</si>
  <si>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</si>
  <si>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</si>
  <si>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</si>
  <si>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</si>
  <si>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</si>
  <si>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</si>
  <si>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</si>
  <si>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</si>
  <si>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</si>
  <si>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</si>
  <si>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</si>
  <si>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</si>
  <si>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</si>
  <si>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</si>
  <si>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</si>
  <si>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</si>
  <si>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</si>
  <si>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</si>
  <si>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</si>
  <si>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</si>
  <si>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</si>
  <si>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</si>
  <si>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</si>
  <si>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</si>
  <si>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</si>
  <si>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</si>
  <si>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</si>
  <si>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</si>
  <si>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</si>
  <si>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</si>
  <si>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</si>
  <si>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</si>
  <si>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</si>
  <si>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</si>
  <si>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</si>
  <si>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</si>
  <si>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</si>
  <si>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</si>
  <si>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</si>
  <si>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</si>
  <si>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</si>
  <si>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</si>
  <si>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</si>
  <si>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</si>
  <si>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</si>
  <si>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</si>
  <si>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</si>
  <si>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</si>
  <si>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</si>
  <si>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</si>
  <si>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</si>
  <si>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</si>
  <si>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</si>
  <si>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</si>
  <si>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</si>
  <si>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</si>
  <si>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</si>
  <si>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</si>
  <si>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</si>
  <si>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</si>
  <si>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</si>
  <si>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</si>
  <si>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</si>
  <si>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</si>
  <si>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</si>
  <si>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</si>
  <si>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</si>
  <si>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</si>
  <si>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</si>
  <si>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</si>
  <si>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</si>
  <si>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</si>
  <si>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</si>
  <si>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</si>
  <si>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</si>
  <si>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</si>
  <si>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</si>
  <si>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</si>
  <si>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</si>
  <si>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</si>
  <si>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</si>
  <si>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</si>
  <si>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</si>
  <si>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</si>
  <si>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</si>
  <si>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</si>
  <si>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</si>
  <si>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</si>
  <si>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</si>
  <si>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</si>
  <si>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</si>
  <si>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</si>
  <si>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</si>
  <si>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</si>
  <si>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</si>
  <si>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</si>
  <si>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</si>
  <si>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</si>
  <si>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</si>
  <si>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</si>
  <si>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</si>
  <si>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</si>
  <si>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</si>
  <si>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</si>
  <si>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</si>
  <si>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</si>
  <si>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</si>
  <si>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</si>
  <si>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</si>
  <si>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</si>
  <si>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</si>
  <si>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</si>
  <si>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</si>
  <si>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</si>
  <si>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</si>
  <si>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</si>
  <si>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</si>
  <si>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</si>
  <si>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</si>
  <si>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</si>
  <si>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</si>
  <si>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</si>
  <si>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</si>
  <si>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</si>
  <si>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</si>
  <si>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</si>
  <si>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</si>
  <si>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</si>
  <si>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</si>
  <si>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</si>
  <si>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</si>
  <si>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</si>
  <si>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</si>
  <si>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</si>
  <si>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</si>
  <si>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</si>
  <si>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</si>
  <si>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</si>
  <si>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</si>
  <si>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</si>
  <si>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</si>
  <si>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</si>
  <si>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</si>
  <si>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</si>
  <si>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</si>
  <si>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</si>
  <si>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</si>
  <si>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</si>
  <si>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</si>
  <si>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</si>
  <si>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</si>
  <si>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</si>
  <si>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</si>
  <si>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</si>
  <si>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</si>
  <si>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</si>
  <si>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</si>
  <si>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</si>
  <si>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</si>
  <si>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</si>
  <si>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</si>
  <si>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</si>
  <si>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</si>
  <si>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</si>
  <si>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</si>
  <si>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</si>
  <si>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</si>
  <si>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</si>
  <si>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</si>
  <si>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</si>
  <si>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</si>
  <si>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</si>
  <si>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</si>
  <si>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</si>
  <si>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</si>
  <si>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</si>
  <si>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</si>
  <si>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</si>
  <si>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</si>
  <si>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</si>
  <si>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</si>
  <si>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</si>
  <si>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</si>
  <si>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</si>
  <si>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</si>
  <si>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</si>
  <si>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</si>
  <si>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</si>
  <si>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</si>
  <si>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</si>
  <si>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</si>
  <si>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</si>
  <si>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</si>
  <si>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</si>
  <si>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</si>
  <si>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</si>
  <si>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</si>
  <si>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</si>
  <si>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</si>
  <si>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</si>
  <si>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</si>
  <si>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</si>
  <si>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</si>
  <si>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</si>
  <si>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</si>
  <si>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</si>
  <si>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</si>
  <si>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</si>
  <si>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</si>
  <si>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</si>
  <si>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</si>
  <si>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</si>
  <si>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</si>
  <si>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</si>
  <si>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</si>
  <si>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</si>
  <si>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</si>
  <si>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</si>
  <si>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</si>
  <si>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</si>
  <si>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</si>
  <si>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</si>
  <si>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</si>
  <si>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</si>
  <si>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</si>
  <si>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</si>
  <si>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</si>
  <si>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</si>
  <si>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</si>
  <si>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</si>
  <si>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</si>
  <si>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</si>
  <si>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</si>
  <si>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</si>
  <si>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</si>
  <si>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</si>
  <si>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</si>
  <si>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</si>
  <si>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</si>
  <si>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</si>
  <si>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</si>
  <si>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</si>
  <si>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</si>
  <si>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</si>
  <si>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</si>
  <si>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</si>
  <si>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</si>
  <si>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</si>
  <si>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</si>
  <si>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</si>
  <si>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</si>
  <si>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</si>
  <si>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</si>
  <si>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</si>
  <si>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</si>
  <si>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</si>
  <si>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</si>
  <si>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</si>
  <si>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</si>
  <si>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</si>
  <si>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</si>
  <si>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</si>
  <si>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</si>
  <si>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</si>
  <si>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</si>
  <si>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</si>
  <si>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</si>
  <si>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</si>
  <si>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</si>
  <si>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</si>
  <si>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</si>
  <si>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</si>
  <si>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</si>
  <si>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</si>
  <si>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</si>
  <si>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</si>
  <si>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</si>
  <si>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</si>
  <si>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</si>
  <si>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</si>
  <si>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</si>
  <si>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</si>
  <si>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</si>
  <si>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</si>
  <si>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</si>
  <si>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</si>
  <si>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</si>
  <si>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</si>
  <si>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</si>
  <si>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</si>
  <si>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</si>
  <si>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</si>
  <si>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</si>
  <si>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</si>
  <si>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</si>
  <si>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</si>
  <si>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</si>
  <si>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</si>
  <si>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</si>
  <si>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</si>
  <si>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</si>
  <si>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</si>
  <si>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</si>
  <si>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</si>
  <si>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</si>
  <si>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</si>
  <si>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</si>
  <si>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</si>
  <si>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</si>
  <si>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</si>
  <si>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</si>
  <si>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</si>
  <si>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</si>
  <si>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</si>
  <si>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</si>
  <si>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</si>
  <si>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</si>
  <si>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</si>
  <si>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</si>
  <si>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</si>
  <si>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</si>
  <si>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</si>
  <si>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</si>
  <si>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</si>
  <si>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</si>
  <si>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</si>
  <si>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</si>
  <si>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</si>
  <si>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</si>
  <si>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</si>
  <si>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</si>
  <si>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</si>
  <si>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</si>
  <si>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</si>
  <si>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</si>
  <si>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</si>
  <si>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</si>
  <si>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</si>
  <si>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</si>
  <si>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</si>
  <si>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</si>
  <si>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</si>
  <si>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</si>
  <si>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</si>
  <si>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</si>
  <si>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</si>
  <si>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</si>
  <si>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</si>
  <si>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</si>
  <si>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</si>
  <si>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</si>
  <si>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</si>
  <si>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</si>
  <si>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</si>
  <si>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</si>
  <si>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</si>
  <si>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</si>
  <si>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</si>
  <si>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</si>
  <si>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</si>
  <si>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</si>
  <si>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</si>
  <si>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</si>
  <si>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</si>
  <si>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</si>
  <si>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</si>
  <si>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</si>
  <si>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</si>
  <si>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</si>
  <si>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</si>
  <si>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</si>
  <si>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</si>
  <si>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</si>
  <si>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</si>
  <si>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</si>
  <si>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</si>
  <si>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</si>
  <si>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</si>
  <si>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</si>
  <si>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</si>
  <si>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</si>
  <si>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</si>
  <si>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</si>
  <si>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</si>
  <si>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</si>
  <si>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</si>
  <si>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</si>
  <si>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</si>
  <si>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</si>
  <si>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</si>
  <si>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</si>
  <si>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</si>
  <si>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</si>
  <si>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</si>
  <si>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</si>
  <si>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</si>
  <si>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</si>
  <si>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</si>
  <si>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</si>
  <si>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</si>
  <si>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</si>
  <si>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</si>
  <si>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</si>
  <si>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</si>
  <si>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</si>
  <si>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</si>
  <si>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</si>
  <si>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</si>
  <si>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</si>
  <si>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</si>
  <si>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</si>
  <si>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</si>
  <si>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</si>
  <si>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CADIERE</t>
  </si>
  <si>
    <t xml:space="preserve">MARIGNANE</t>
  </si>
  <si>
    <t xml:space="preserve">06196950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</si>
  <si>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</si>
  <si>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</si>
  <si>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</si>
  <si>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</si>
  <si>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</si>
  <si>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</si>
  <si>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</si>
  <si>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</si>
  <si>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</si>
  <si>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</si>
  <si>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</si>
  <si>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</si>
  <si>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</si>
  <si>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</si>
  <si>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</si>
  <si>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</si>
  <si>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</si>
  <si>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</si>
  <si>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</si>
  <si>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</si>
  <si>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</si>
  <si>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</si>
  <si>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</si>
  <si>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</si>
  <si>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</si>
  <si>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</si>
  <si>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</si>
  <si>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</si>
  <si>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</si>
  <si>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</si>
  <si>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</si>
  <si>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</si>
  <si>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</si>
  <si>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</si>
  <si>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</si>
  <si>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</si>
  <si>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</si>
  <si>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</si>
  <si>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</si>
  <si>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</si>
  <si>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</si>
  <si>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</si>
  <si>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</si>
  <si>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</si>
  <si>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</si>
  <si>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</si>
  <si>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</si>
  <si>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</si>
  <si>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</si>
  <si>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(0,1075 %)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</si>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</sst>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6" borderId="62" xfId="0" applyFont="true" applyBorder="true" applyAlignment="true" applyProtection="true">
      <alignment horizontal="right" vertical="top" textRotation="0" wrapText="false" indent="0" shrinkToFit="false"/>
      <protection locked="true" hidden="true"/>
    </xf>
    <xf numFmtId="172" fontId="27" fillId="6" borderId="63" xfId="0" applyFont="true" applyBorder="true" applyAlignment="true" applyProtection="true">
      <alignment horizontal="left" vertical="top" textRotation="0" wrapText="false" indent="0" shrinkToFit="false"/>
      <protection locked="true" hidden="true"/>
    </xf>
    <xf numFmtId="172" fontId="55" fillId="6" borderId="55" xfId="0" applyFont="true" applyBorder="true" applyAlignment="true" applyProtection="true">
      <alignment horizontal="left" vertical="top" textRotation="0" wrapText="false" indent="0" shrinkToFit="false"/>
      <protection locked="true" hidden="true"/>
    </xf>
    <xf numFmtId="172" fontId="20" fillId="6"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6" borderId="66" xfId="0" applyFont="true" applyBorder="true" applyAlignment="true" applyProtection="true">
      <alignment horizontal="left" vertical="bottom" textRotation="0" wrapText="false" indent="0" shrinkToFit="false"/>
      <protection locked="true" hidden="true"/>
    </xf>
    <xf numFmtId="164" fontId="26" fillId="6" borderId="67" xfId="0" applyFont="true" applyBorder="true" applyAlignment="true" applyProtection="true">
      <alignment horizontal="right" vertical="top" textRotation="0" wrapText="false" indent="0" shrinkToFit="false"/>
      <protection locked="true" hidden="true"/>
    </xf>
    <xf numFmtId="164" fontId="69" fillId="6"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41848</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7.54545454545455</v>
      </c>
      <c r="M5" s="276"/>
      <c r="N5" s="277" t="s">
        <v>852</v>
      </c>
      <c r="O5" s="278" t="n">
        <v>6.55555555555556</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25</v>
      </c>
      <c r="C7" s="290" t="n">
        <v>75</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7.22222222222222</v>
      </c>
      <c r="O8" s="307" t="n">
        <f aca="false">IF(ISERROR(AVERAGE(J23:J82)),"      -",AVERAGE(J23:J82))</f>
        <v>1.22222222222222</v>
      </c>
      <c r="P8" s="308"/>
      <c r="Q8" s="233"/>
      <c r="R8" s="233"/>
      <c r="S8" s="233"/>
      <c r="T8" s="233"/>
      <c r="U8" s="233"/>
      <c r="V8" s="233"/>
      <c r="W8" s="245"/>
      <c r="X8" s="246"/>
    </row>
    <row r="9" customFormat="false" ht="13.5" hidden="false" customHeight="false" outlineLevel="0" collapsed="false">
      <c r="A9" s="266" t="s">
        <v>2630</v>
      </c>
      <c r="B9" s="309" t="n">
        <v>0.2</v>
      </c>
      <c r="C9" s="310" t="n">
        <v>0.05</v>
      </c>
      <c r="D9" s="311"/>
      <c r="E9" s="311"/>
      <c r="F9" s="312" t="n">
        <f aca="false">($B9*$B$7+$C9*$C$7)/100</f>
        <v>0.0875</v>
      </c>
      <c r="G9" s="313"/>
      <c r="H9" s="314"/>
      <c r="I9" s="315"/>
      <c r="J9" s="316"/>
      <c r="K9" s="296"/>
      <c r="L9" s="317"/>
      <c r="M9" s="306" t="s">
        <v>2631</v>
      </c>
      <c r="N9" s="307" t="n">
        <f aca="false">IF(ISERROR(STDEVP(I23:I82)),"     -",STDEVP(I23:I82))</f>
        <v>4.10359673613764</v>
      </c>
      <c r="O9" s="307" t="n">
        <f aca="false">IF(ISERROR(STDEVP(J23:J82)),"      -",STDEVP(J23:J82))</f>
        <v>0.628539361054709</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12</v>
      </c>
      <c r="O11" s="329" t="n">
        <f aca="false">MAX(J23:J82)</f>
        <v>2</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4</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1</v>
      </c>
      <c r="L13" s="339"/>
      <c r="M13" s="350" t="s">
        <v>2642</v>
      </c>
      <c r="N13" s="351" t="n">
        <f aca="false">COUNTIF(F23:F82,"&gt;0")</f>
        <v>9</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9</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4</v>
      </c>
      <c r="L15" s="339"/>
      <c r="M15" s="360" t="s">
        <v>2648</v>
      </c>
      <c r="N15" s="361" t="n">
        <f aca="false">COUNTIF(J23:J82,"=1")</f>
        <v>5</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3</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0.25</v>
      </c>
      <c r="C20" s="389" t="n">
        <f aca="false">SUM(C23:C82)</f>
        <v>0.06</v>
      </c>
      <c r="D20" s="390"/>
      <c r="E20" s="391" t="s">
        <v>2654</v>
      </c>
      <c r="F20" s="392" t="n">
        <f aca="false">($B20*$B$7+$C20*$C$7)/100</f>
        <v>0.1075</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0.0625</v>
      </c>
      <c r="C21" s="402" t="n">
        <f aca="false">C20*C7/100</f>
        <v>0.045</v>
      </c>
      <c r="D21" s="334" t="str">
        <f aca="false">IF(F21=0,"",IF((ABS(F21-F19))&gt;(0.2*F21),CONCATENATE(" rec. par taxa (",F21," %) supérieur à 20 % !"),""))</f>
        <v> rec. par taxa (0,1075 %) supérieur à 20 % !</v>
      </c>
      <c r="E21" s="403" t="str">
        <f aca="false">IF(F21=0,"",IF((ABS(F21-F19))&gt;(0.2*F21),CONCATENATE("ATTENTION : écart entre rec. par grp (",F19," %) ","et",""),""))</f>
        <v>ATTENTION : écart entre rec. par grp (0 %) et</v>
      </c>
      <c r="F21" s="404" t="n">
        <f aca="false">B21+C21</f>
        <v>0.1075</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0.01</v>
      </c>
      <c r="C23" s="429" t="n">
        <v>0.01</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0.01</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0.01</v>
      </c>
      <c r="R23" s="440" t="n">
        <f aca="false">IF(OR(ISTEXT(H23),Q23=0),"",IF(Q23&lt;0.1,1,IF(Q23&lt;1,2,IF(Q23&lt;10,3,IF(Q23&lt;50,4,IF(Q23&gt;=50,5,""))))))</f>
        <v>1</v>
      </c>
      <c r="S23" s="440" t="n">
        <f aca="false">IF(ISERROR(R23*I23),0,R23*I23)</f>
        <v>6</v>
      </c>
      <c r="T23" s="440" t="n">
        <f aca="false">IF(ISERROR(R23*I23*J23),0,R23*I23*J23)</f>
        <v>6</v>
      </c>
      <c r="U23" s="440" t="n">
        <f aca="false">IF(ISERROR(R23*J23),0,R23*J23)</f>
        <v>1</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160</v>
      </c>
      <c r="B24" s="447" t="n">
        <v>0.01</v>
      </c>
      <c r="C24" s="448"/>
      <c r="D24" s="430" t="str">
        <f aca="false">IF(ISERROR(VLOOKUP($A24,'liste reference'!$A$7:$D$904,2,0)),IF(ISERROR(VLOOKUP($A24,'liste reference'!$B$7:$D$904,1,0)),"",VLOOKUP($A24,'liste reference'!$B$7:$D$904,1,0)),VLOOKUP($A24,'liste reference'!$A$7:$D$904,2,0))</f>
        <v>Melosira sp.</v>
      </c>
      <c r="E24" s="449" t="e">
        <f aca="false">IF(D24="",0,VLOOKUP(D24,D$22:D23,1,0))</f>
        <v>#N/A</v>
      </c>
      <c r="F24" s="450" t="n">
        <f aca="false">($B24*$B$7+$C24*$C$7)/100</f>
        <v>0.0025</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10</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8714</v>
      </c>
      <c r="Q24" s="439" t="n">
        <f aca="false">IF(ISTEXT(H24),"",(B24*$B$7/100)+(C24*$C$7/100))</f>
        <v>0.0025</v>
      </c>
      <c r="R24" s="440" t="n">
        <f aca="false">IF(OR(ISTEXT(H24),Q24=0),"",IF(Q24&lt;0.1,1,IF(Q24&lt;1,2,IF(Q24&lt;10,3,IF(Q24&lt;50,4,IF(Q24&gt;=50,5,""))))))</f>
        <v>1</v>
      </c>
      <c r="S24" s="440" t="n">
        <f aca="false">IF(ISERROR(R24*I24),0,R24*I24)</f>
        <v>10</v>
      </c>
      <c r="T24" s="440" t="n">
        <f aca="false">IF(ISERROR(R24*I24*J24),0,R24*I24*J24)</f>
        <v>10</v>
      </c>
      <c r="U24" s="452" t="n">
        <f aca="false">IF(ISERROR(R24*J24),0,R24*J24)</f>
        <v>1</v>
      </c>
      <c r="V24" s="441" t="str">
        <f aca="false">IF(AND(A24="",F24=0),"",IF(F24=0,"Il manque le(s) % de rec. !",""))</f>
        <v/>
      </c>
      <c r="W24" s="442"/>
      <c r="Y24" s="443" t="str">
        <f aca="false">IF(A24="new.cod","NEWCOD",IF(AND((Z24=""),ISTEXT(A24)),A24,IF(Z24="","",INDEX('liste reference'!$A$8:$A$904,Z24))))</f>
        <v>MELSPX</v>
      </c>
      <c r="Z24" s="233" t="n">
        <f aca="false">IF(ISERROR(MATCH(A24,'liste reference'!$A$8:$A$904,0)),IF(ISERROR(MATCH(A24,'liste reference'!$B$8:$B$904,0)),"",(MATCH(A24,'liste reference'!$B$8:$B$904,0))),(MATCH(A24,'liste reference'!$A$8:$A$904,0)))</f>
        <v>36</v>
      </c>
      <c r="AA24" s="444"/>
      <c r="AB24" s="445"/>
      <c r="AC24" s="445"/>
      <c r="BB24" s="233" t="n">
        <f aca="false">IF(A24="","",1)</f>
        <v>1</v>
      </c>
    </row>
    <row r="25" customFormat="false" ht="12.75" hidden="false" customHeight="false" outlineLevel="0" collapsed="false">
      <c r="A25" s="446" t="s">
        <v>241</v>
      </c>
      <c r="B25" s="447" t="n">
        <v>0.01</v>
      </c>
      <c r="C25" s="448" t="n">
        <v>0.01</v>
      </c>
      <c r="D25" s="430" t="str">
        <f aca="false">IF(ISERROR(VLOOKUP($A25,'liste reference'!$A$7:$D$904,2,0)),IF(ISERROR(VLOOKUP($A25,'liste reference'!$B$7:$D$904,1,0)),"",VLOOKUP($A25,'liste reference'!$B$7:$D$904,1,0)),VLOOKUP($A25,'liste reference'!$A$7:$D$904,2,0))</f>
        <v>Rhizoclonium sp.</v>
      </c>
      <c r="E25" s="449" t="e">
        <f aca="false">IF(D25="",0,VLOOKUP(D25,D$22:D24,1,0))</f>
        <v>#N/A</v>
      </c>
      <c r="F25" s="450" t="n">
        <f aca="false">($B25*$B$7+$C25*$C$7)/100</f>
        <v>0.01</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4</v>
      </c>
      <c r="J25" s="434" t="n">
        <f aca="false">IF(ISNUMBER(H25),IF(ISERROR(VLOOKUP($A25,'liste reference'!$A$7:$P$904,4,0)),IF(ISERROR(VLOOKUP($A25,'liste reference'!$B$7:$P$904,3,0)),"",VLOOKUP($A25,'liste reference'!$B$7:$P$904,3,0)),VLOOKUP($A25,'liste reference'!$A$7:$P$904,4,0)),"")</f>
        <v>2</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Rhizoclonium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1125</v>
      </c>
      <c r="Q25" s="439" t="n">
        <f aca="false">IF(ISTEXT(H25),"",(B25*$B$7/100)+(C25*$C$7/100))</f>
        <v>0.01</v>
      </c>
      <c r="R25" s="440" t="n">
        <f aca="false">IF(OR(ISTEXT(H25),Q25=0),"",IF(Q25&lt;0.1,1,IF(Q25&lt;1,2,IF(Q25&lt;10,3,IF(Q25&lt;50,4,IF(Q25&gt;=50,5,""))))))</f>
        <v>1</v>
      </c>
      <c r="S25" s="440" t="n">
        <f aca="false">IF(ISERROR(R25*I25),0,R25*I25)</f>
        <v>4</v>
      </c>
      <c r="T25" s="440" t="n">
        <f aca="false">IF(ISERROR(R25*I25*J25),0,R25*I25*J25)</f>
        <v>8</v>
      </c>
      <c r="U25" s="452" t="n">
        <f aca="false">IF(ISERROR(R25*J25),0,R25*J25)</f>
        <v>2</v>
      </c>
      <c r="V25" s="441" t="str">
        <f aca="false">IF(AND(A25="",F25=0),"",IF(F25=0,"Il manque le(s) % de rec. !",""))</f>
        <v/>
      </c>
      <c r="W25" s="442"/>
      <c r="Y25" s="443" t="str">
        <f aca="false">IF(A25="new.cod","NEWCOD",IF(AND((Z25=""),ISTEXT(A25)),A25,IF(Z25="","",INDEX('liste reference'!$A$8:$A$904,Z25))))</f>
        <v>RHISPX</v>
      </c>
      <c r="Z25" s="233" t="n">
        <f aca="false">IF(ISERROR(MATCH(A25,'liste reference'!$A$8:$A$904,0)),IF(ISERROR(MATCH(A25,'liste reference'!$B$8:$B$904,0)),"",(MATCH(A25,'liste reference'!$B$8:$B$904,0))),(MATCH(A25,'liste reference'!$A$8:$A$904,0)))</f>
        <v>62</v>
      </c>
      <c r="AA25" s="444"/>
      <c r="AB25" s="445"/>
      <c r="AC25" s="445"/>
      <c r="BB25" s="233" t="n">
        <f aca="false">IF(A25="","",1)</f>
        <v>1</v>
      </c>
    </row>
    <row r="26" customFormat="false" ht="12.75" hidden="false" customHeight="false" outlineLevel="0" collapsed="false">
      <c r="A26" s="446" t="s">
        <v>258</v>
      </c>
      <c r="B26" s="447" t="n">
        <v>0.01</v>
      </c>
      <c r="C26" s="448" t="n">
        <v>0.01</v>
      </c>
      <c r="D26" s="430" t="str">
        <f aca="false">IF(ISERROR(VLOOKUP($A26,'liste reference'!$A$7:$D$904,2,0)),IF(ISERROR(VLOOKUP($A26,'liste reference'!$B$7:$D$904,1,0)),"",VLOOKUP($A26,'liste reference'!$B$7:$D$904,1,0)),VLOOKUP($A26,'liste reference'!$A$7:$D$904,2,0))</f>
        <v>Spirogyra sp.</v>
      </c>
      <c r="E26" s="449" t="e">
        <f aca="false">IF(D26="",0,VLOOKUP(D26,D$22:D25,1,0))</f>
        <v>#N/A</v>
      </c>
      <c r="F26" s="450" t="n">
        <f aca="false">($B26*$B$7+$C26*$C$7)/100</f>
        <v>0.01</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10</v>
      </c>
      <c r="J26" s="434" t="n">
        <f aca="false">IF(ISNUMBER(H26),IF(ISERROR(VLOOKUP($A26,'liste reference'!$A$7:$P$904,4,0)),IF(ISERROR(VLOOKUP($A26,'liste reference'!$B$7:$P$904,3,0)),"",VLOOKUP($A26,'liste reference'!$B$7:$P$904,3,0)),VLOOKUP($A26,'liste reference'!$A$7:$P$904,4,0)),"")</f>
        <v>1</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1147</v>
      </c>
      <c r="Q26" s="439" t="n">
        <f aca="false">IF(ISTEXT(H26),"",(B26*$B$7/100)+(C26*$C$7/100))</f>
        <v>0.01</v>
      </c>
      <c r="R26" s="440" t="n">
        <f aca="false">IF(OR(ISTEXT(H26),Q26=0),"",IF(Q26&lt;0.1,1,IF(Q26&lt;1,2,IF(Q26&lt;10,3,IF(Q26&lt;50,4,IF(Q26&gt;=50,5,""))))))</f>
        <v>1</v>
      </c>
      <c r="S26" s="440" t="n">
        <f aca="false">IF(ISERROR(R26*I26),0,R26*I26)</f>
        <v>10</v>
      </c>
      <c r="T26" s="440" t="n">
        <f aca="false">IF(ISERROR(R26*I26*J26),0,R26*I26*J26)</f>
        <v>10</v>
      </c>
      <c r="U26" s="452" t="n">
        <f aca="false">IF(ISERROR(R26*J26),0,R26*J26)</f>
        <v>1</v>
      </c>
      <c r="V26" s="441" t="str">
        <f aca="false">IF(AND(A26="",F26=0),"",IF(F26=0,"Il manque le(s) % de rec. !",""))</f>
        <v/>
      </c>
      <c r="W26" s="442"/>
      <c r="Y26" s="443" t="str">
        <f aca="false">IF(A26="new.cod","NEWCOD",IF(AND((Z26=""),ISTEXT(A26)),A26,IF(Z26="","",INDEX('liste reference'!$A$8:$A$904,Z26))))</f>
        <v>SPISPX</v>
      </c>
      <c r="Z26" s="233" t="n">
        <f aca="false">IF(ISERROR(MATCH(A26,'liste reference'!$A$8:$A$904,0)),IF(ISERROR(MATCH(A26,'liste reference'!$B$8:$B$904,0)),"",(MATCH(A26,'liste reference'!$B$8:$B$904,0))),(MATCH(A26,'liste reference'!$A$8:$A$904,0)))</f>
        <v>69</v>
      </c>
      <c r="AA26" s="444"/>
      <c r="AB26" s="445"/>
      <c r="AC26" s="445"/>
      <c r="BB26" s="233" t="n">
        <f aca="false">IF(A26="","",1)</f>
        <v>1</v>
      </c>
    </row>
    <row r="27" customFormat="false" ht="12.75" hidden="false" customHeight="false" outlineLevel="0" collapsed="false">
      <c r="A27" s="446" t="s">
        <v>852</v>
      </c>
      <c r="B27" s="447" t="n">
        <v>0.01</v>
      </c>
      <c r="C27" s="448"/>
      <c r="D27" s="430" t="str">
        <f aca="false">IF(ISERROR(VLOOKUP($A27,'liste reference'!$A$7:$D$904,2,0)),IF(ISERROR(VLOOKUP($A27,'liste reference'!$B$7:$D$904,1,0)),"",VLOOKUP($A27,'liste reference'!$B$7:$D$904,1,0)),VLOOKUP($A27,'liste reference'!$A$7:$D$904,2,0))</f>
        <v>Fissidens crassipes</v>
      </c>
      <c r="E27" s="449" t="e">
        <f aca="false">IF(D27="",0,VLOOKUP(D27,D$22:D26,1,0))</f>
        <v>#N/A</v>
      </c>
      <c r="F27" s="450" t="n">
        <f aca="false">($B27*$B$7+$C27*$C$7)/100</f>
        <v>0.0025</v>
      </c>
      <c r="G27" s="432" t="str">
        <f aca="false">IF(A27="","",IF(ISERROR(VLOOKUP($A27,'liste reference'!$A$7:$P$904,13,0)),IF(ISERROR(VLOOKUP($A27,'liste reference'!$B$7:$P$904,12,0)),"    -",VLOOKUP($A27,'liste reference'!$B$7:$P$904,12,0)),VLOOKUP($A27,'liste reference'!$A$7:$P$904,13,0)))</f>
        <v>BRm</v>
      </c>
      <c r="H27" s="433" t="n">
        <f aca="false">IF(A27="","x",IF(ISERROR(VLOOKUP($A27,'liste reference'!$A$8:$P$904,14,0)),IF(ISERROR(VLOOKUP($A27,'liste reference'!$B$8:$P$904,13,0)),"x",VLOOKUP($A27,'liste reference'!$B$8:$P$904,13,0)),VLOOKUP($A27,'liste reference'!$A$8:$P$904,14,0)))</f>
        <v>5</v>
      </c>
      <c r="I27" s="434" t="n">
        <f aca="false">IF(ISNUMBER(H27),IF(ISERROR(VLOOKUP($A27,'liste reference'!$A$7:$P$904,3,0)),IF(ISERROR(VLOOKUP($A27,'liste reference'!$B$7:$P$904,2,0)),"",VLOOKUP($A27,'liste reference'!$B$7:$P$904,2,0)),VLOOKUP($A27,'liste reference'!$A$7:$P$904,3,0)),"")</f>
        <v>12</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Fissidens crassipes</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1294</v>
      </c>
      <c r="Q27" s="439" t="n">
        <f aca="false">IF(ISTEXT(H27),"",(B27*$B$7/100)+(C27*$C$7/100))</f>
        <v>0.0025</v>
      </c>
      <c r="R27" s="440" t="n">
        <f aca="false">IF(OR(ISTEXT(H27),Q27=0),"",IF(Q27&lt;0.1,1,IF(Q27&lt;1,2,IF(Q27&lt;10,3,IF(Q27&lt;50,4,IF(Q27&gt;=50,5,""))))))</f>
        <v>1</v>
      </c>
      <c r="S27" s="440" t="n">
        <f aca="false">IF(ISERROR(R27*I27),0,R27*I27)</f>
        <v>12</v>
      </c>
      <c r="T27" s="440" t="n">
        <f aca="false">IF(ISERROR(R27*I27*J27),0,R27*I27*J27)</f>
        <v>24</v>
      </c>
      <c r="U27" s="452" t="n">
        <f aca="false">IF(ISERROR(R27*J27),0,R27*J27)</f>
        <v>2</v>
      </c>
      <c r="V27" s="441" t="str">
        <f aca="false">IF(AND(A27="",F27=0),"",IF(F27=0,"Il manque le(s) % de rec. !",""))</f>
        <v/>
      </c>
      <c r="W27" s="442"/>
      <c r="Y27" s="443" t="str">
        <f aca="false">IF(A27="new.cod","NEWCOD",IF(AND((Z27=""),ISTEXT(A27)),A27,IF(Z27="","",INDEX('liste reference'!$A$8:$A$904,Z27))))</f>
        <v>FISCRA</v>
      </c>
      <c r="Z27" s="233" t="n">
        <f aca="false">IF(ISERROR(MATCH(A27,'liste reference'!$A$8:$A$904,0)),IF(ISERROR(MATCH(A27,'liste reference'!$B$8:$B$904,0)),"",(MATCH(A27,'liste reference'!$B$8:$B$904,0))),(MATCH(A27,'liste reference'!$A$8:$A$904,0)))</f>
        <v>197</v>
      </c>
      <c r="AA27" s="444"/>
      <c r="AB27" s="445"/>
      <c r="AC27" s="445"/>
      <c r="BB27" s="233" t="n">
        <f aca="false">IF(A27="","",1)</f>
        <v>1</v>
      </c>
    </row>
    <row r="28" customFormat="false" ht="12.75" hidden="false" customHeight="false" outlineLevel="0" collapsed="false">
      <c r="A28" s="446" t="s">
        <v>1487</v>
      </c>
      <c r="B28" s="447" t="n">
        <v>0.2</v>
      </c>
      <c r="C28" s="448"/>
      <c r="D28" s="430" t="str">
        <f aca="false">IF(ISERROR(VLOOKUP($A28,'liste reference'!$A$7:$D$904,2,0)),IF(ISERROR(VLOOKUP($A28,'liste reference'!$B$7:$D$904,1,0)),"",VLOOKUP($A28,'liste reference'!$B$7:$D$904,1,0)),VLOOKUP($A28,'liste reference'!$A$7:$D$904,2,0))</f>
        <v>Potamogeton pectinatus</v>
      </c>
      <c r="E28" s="449" t="e">
        <f aca="false">IF(D28="",0,VLOOKUP(D28,D$18:D24,1,0))</f>
        <v>#N/A</v>
      </c>
      <c r="F28" s="450" t="n">
        <f aca="false">($B28*$B$7+$C28*$C$7)/100</f>
        <v>0.05</v>
      </c>
      <c r="G28" s="432" t="str">
        <f aca="false">IF(A28="","",IF(ISERROR(VLOOKUP($A28,'liste reference'!$A$7:$P$904,13,0)),IF(ISERROR(VLOOKUP($A28,'liste reference'!$B$7:$P$904,12,0)),"    -",VLOOKUP($A28,'liste reference'!$B$7:$P$904,12,0)),VLOOKUP($A28,'liste reference'!$A$7:$P$904,13,0)))</f>
        <v>PHy</v>
      </c>
      <c r="H28" s="433" t="n">
        <f aca="false">IF(A28="","x",IF(ISERROR(VLOOKUP($A28,'liste reference'!$A$8:$P$904,14,0)),IF(ISERROR(VLOOKUP($A28,'liste reference'!$B$8:$P$904,13,0)),"x",VLOOKUP($A28,'liste reference'!$B$8:$P$904,13,0)),VLOOKUP($A28,'liste reference'!$A$8:$P$904,14,0)))</f>
        <v>7</v>
      </c>
      <c r="I28" s="434" t="n">
        <f aca="false">IF(ISNUMBER(H28),IF(ISERROR(VLOOKUP($A28,'liste reference'!$A$7:$P$904,3,0)),IF(ISERROR(VLOOKUP($A28,'liste reference'!$B$7:$P$904,2,0)),"",VLOOKUP($A28,'liste reference'!$B$7:$P$904,2,0)),VLOOKUP($A28,'liste reference'!$A$7:$P$904,3,0)),"")</f>
        <v>2</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Potamogeton pectinatus</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1655</v>
      </c>
      <c r="Q28" s="439" t="n">
        <f aca="false">IF(ISTEXT(H28),"",(B28*$B$7/100)+(C28*$C$7/100))</f>
        <v>0.05</v>
      </c>
      <c r="R28" s="440" t="n">
        <f aca="false">IF(OR(ISTEXT(H28),Q28=0),"",IF(Q28&lt;0.1,1,IF(Q28&lt;1,2,IF(Q28&lt;10,3,IF(Q28&lt;50,4,IF(Q28&gt;=50,5,""))))))</f>
        <v>1</v>
      </c>
      <c r="S28" s="440" t="n">
        <f aca="false">IF(ISERROR(R28*I28),0,R28*I28)</f>
        <v>2</v>
      </c>
      <c r="T28" s="440" t="n">
        <f aca="false">IF(ISERROR(R28*I28*J28),0,R28*I28*J28)</f>
        <v>4</v>
      </c>
      <c r="U28" s="452" t="n">
        <f aca="false">IF(ISERROR(R28*J28),0,R28*J28)</f>
        <v>2</v>
      </c>
      <c r="V28" s="441" t="str">
        <f aca="false">IF(AND(A28="",F28=0),"",IF(F28=0,"Il manque le(s) % de rec. !",""))</f>
        <v/>
      </c>
      <c r="W28" s="442"/>
      <c r="Y28" s="443" t="str">
        <f aca="false">IF(A28="new.cod","NEWCOD",IF(AND((Z28=""),ISTEXT(A28)),A28,IF(Z28="","",INDEX('liste reference'!$A$8:$A$904,Z28))))</f>
        <v>POTPEC</v>
      </c>
      <c r="Z28" s="233" t="n">
        <f aca="false">IF(ISERROR(MATCH(A28,'liste reference'!$A$8:$A$904,0)),IF(ISERROR(MATCH(A28,'liste reference'!$B$8:$B$904,0)),"",(MATCH(A28,'liste reference'!$B$8:$B$904,0))),(MATCH(A28,'liste reference'!$A$8:$A$904,0)))</f>
        <v>421</v>
      </c>
      <c r="AA28" s="444"/>
      <c r="AB28" s="445"/>
      <c r="AC28" s="445"/>
      <c r="BB28" s="233" t="n">
        <f aca="false">IF(A28="","",1)</f>
        <v>1</v>
      </c>
    </row>
    <row r="29" customFormat="false" ht="12.75" hidden="false" customHeight="false" outlineLevel="0" collapsed="false">
      <c r="A29" s="446" t="s">
        <v>1984</v>
      </c>
      <c r="B29" s="447"/>
      <c r="C29" s="448" t="n">
        <v>0.01</v>
      </c>
      <c r="D29" s="430" t="str">
        <f aca="false">IF(ISERROR(VLOOKUP($A29,'liste reference'!$A$7:$D$904,2,0)),IF(ISERROR(VLOOKUP($A29,'liste reference'!$B$7:$D$904,1,0)),"",VLOOKUP($A29,'liste reference'!$B$7:$D$904,1,0)),VLOOKUP($A29,'liste reference'!$A$7:$D$904,2,0))</f>
        <v>Nasturtium officinale</v>
      </c>
      <c r="E29" s="449" t="e">
        <f aca="false">IF(D29="",0,VLOOKUP(D29,D$22:D28,1,0))</f>
        <v>#N/A</v>
      </c>
      <c r="F29" s="450" t="n">
        <f aca="false">($B29*$B$7+$C29*$C$7)/100</f>
        <v>0.0075</v>
      </c>
      <c r="G29" s="432" t="str">
        <f aca="false">IF(A29="","",IF(ISERROR(VLOOKUP($A29,'liste reference'!$A$7:$P$904,13,0)),IF(ISERROR(VLOOKUP($A29,'liste reference'!$B$7:$P$904,12,0)),"    -",VLOOKUP($A29,'liste reference'!$B$7:$P$904,12,0)),VLOOKUP($A29,'liste reference'!$A$7:$P$904,13,0)))</f>
        <v>PHe</v>
      </c>
      <c r="H29" s="433" t="n">
        <f aca="false">IF(A29="","x",IF(ISERROR(VLOOKUP($A29,'liste reference'!$A$8:$P$904,14,0)),IF(ISERROR(VLOOKUP($A29,'liste reference'!$B$8:$P$904,13,0)),"x",VLOOKUP($A29,'liste reference'!$B$8:$P$904,13,0)),VLOOKUP($A29,'liste reference'!$A$8:$P$904,14,0)))</f>
        <v>8</v>
      </c>
      <c r="I29" s="434" t="n">
        <f aca="false">IF(ISNUMBER(H29),IF(ISERROR(VLOOKUP($A29,'liste reference'!$A$7:$P$904,3,0)),IF(ISERROR(VLOOKUP($A29,'liste reference'!$B$7:$P$904,2,0)),"",VLOOKUP($A29,'liste reference'!$B$7:$P$904,2,0)),VLOOKUP($A29,'liste reference'!$A$7:$P$904,3,0)),"")</f>
        <v>11</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Nasturtium officinale</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1763</v>
      </c>
      <c r="Q29" s="439" t="n">
        <f aca="false">IF(ISTEXT(H29),"",(B29*$B$7/100)+(C29*$C$7/100))</f>
        <v>0.0075</v>
      </c>
      <c r="R29" s="440" t="n">
        <f aca="false">IF(OR(ISTEXT(H29),Q29=0),"",IF(Q29&lt;0.1,1,IF(Q29&lt;1,2,IF(Q29&lt;10,3,IF(Q29&lt;50,4,IF(Q29&gt;=50,5,""))))))</f>
        <v>1</v>
      </c>
      <c r="S29" s="440" t="n">
        <f aca="false">IF(ISERROR(R29*I29),0,R29*I29)</f>
        <v>11</v>
      </c>
      <c r="T29" s="440" t="n">
        <f aca="false">IF(ISERROR(R29*I29*J29),0,R29*I29*J29)</f>
        <v>11</v>
      </c>
      <c r="U29" s="452" t="n">
        <f aca="false">IF(ISERROR(R29*J29),0,R29*J29)</f>
        <v>1</v>
      </c>
      <c r="V29" s="441" t="str">
        <f aca="false">IF(AND(A29="",F29=0),"",IF(F29=0,"Il manque le(s) % de rec. !",""))</f>
        <v/>
      </c>
      <c r="W29" s="453"/>
      <c r="Y29" s="443" t="str">
        <f aca="false">IF(A29="new.cod","NEWCOD",IF(AND((Z29=""),ISTEXT(A29)),A29,IF(Z29="","",INDEX('liste reference'!$A$8:$A$904,Z29))))</f>
        <v>NASOFF</v>
      </c>
      <c r="Z29" s="233" t="n">
        <f aca="false">IF(ISERROR(MATCH(A29,'liste reference'!$A$8:$A$904,0)),IF(ISERROR(MATCH(A29,'liste reference'!$B$8:$B$904,0)),"",(MATCH(A29,'liste reference'!$B$8:$B$904,0))),(MATCH(A29,'liste reference'!$A$8:$A$904,0)))</f>
        <v>628</v>
      </c>
      <c r="AA29" s="444"/>
      <c r="AB29" s="445"/>
      <c r="AC29" s="445"/>
      <c r="BB29" s="233" t="n">
        <f aca="false">IF(A29="","",1)</f>
        <v>1</v>
      </c>
    </row>
    <row r="30" customFormat="false" ht="12.75" hidden="false" customHeight="false" outlineLevel="0" collapsed="false">
      <c r="A30" s="446" t="s">
        <v>2000</v>
      </c>
      <c r="B30" s="447"/>
      <c r="C30" s="448" t="n">
        <v>0.01</v>
      </c>
      <c r="D30" s="430" t="str">
        <f aca="false">IF(ISERROR(VLOOKUP($A30,'liste reference'!$A$7:$D$904,2,0)),IF(ISERROR(VLOOKUP($A30,'liste reference'!$B$7:$D$904,1,0)),"",VLOOKUP($A30,'liste reference'!$B$7:$D$904,1,0)),VLOOKUP($A30,'liste reference'!$A$7:$D$904,2,0))</f>
        <v>Phalaris arundinacea</v>
      </c>
      <c r="E30" s="449" t="e">
        <f aca="false">IF(D30="",0,VLOOKUP(D30,D$20:D25,1,0))</f>
        <v>#N/A</v>
      </c>
      <c r="F30" s="450" t="n">
        <f aca="false">($B30*$B$7+$C30*$C$7)/100</f>
        <v>0.0075</v>
      </c>
      <c r="G30" s="432" t="str">
        <f aca="false">IF(A30="","",IF(ISERROR(VLOOKUP($A30,'liste reference'!$A$7:$P$904,13,0)),IF(ISERROR(VLOOKUP($A30,'liste reference'!$B$7:$P$904,12,0)),"    -",VLOOKUP($A30,'liste reference'!$B$7:$P$904,12,0)),VLOOKUP($A30,'liste reference'!$A$7:$P$904,13,0)))</f>
        <v>PHe</v>
      </c>
      <c r="H30" s="433" t="n">
        <f aca="false">IF(A30="","x",IF(ISERROR(VLOOKUP($A30,'liste reference'!$A$8:$P$904,14,0)),IF(ISERROR(VLOOKUP($A30,'liste reference'!$B$8:$P$904,13,0)),"x",VLOOKUP($A30,'liste reference'!$B$8:$P$904,13,0)),VLOOKUP($A30,'liste reference'!$A$8:$P$904,14,0)))</f>
        <v>8</v>
      </c>
      <c r="I30" s="434" t="n">
        <f aca="false">IF(ISNUMBER(H30),IF(ISERROR(VLOOKUP($A30,'liste reference'!$A$7:$P$904,3,0)),IF(ISERROR(VLOOKUP($A30,'liste reference'!$B$7:$P$904,2,0)),"",VLOOKUP($A30,'liste reference'!$B$7:$P$904,2,0)),VLOOKUP($A30,'liste reference'!$A$7:$P$904,3,0)),"")</f>
        <v>10</v>
      </c>
      <c r="J30" s="434" t="n">
        <f aca="false">IF(ISNUMBER(H30),IF(ISERROR(VLOOKUP($A30,'liste reference'!$A$7:$P$904,4,0)),IF(ISERROR(VLOOKUP($A30,'liste reference'!$B$7:$P$904,3,0)),"",VLOOKUP($A30,'liste reference'!$B$7:$P$904,3,0)),VLOOKUP($A30,'liste reference'!$A$7:$P$904,4,0)),"")</f>
        <v>1</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Phalaris arundinacea</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1577</v>
      </c>
      <c r="Q30" s="439" t="n">
        <f aca="false">IF(ISTEXT(H30),"",(B30*$B$7/100)+(C30*$C$7/100))</f>
        <v>0.0075</v>
      </c>
      <c r="R30" s="440" t="n">
        <f aca="false">IF(OR(ISTEXT(H30),Q30=0),"",IF(Q30&lt;0.1,1,IF(Q30&lt;1,2,IF(Q30&lt;10,3,IF(Q30&lt;50,4,IF(Q30&gt;=50,5,""))))))</f>
        <v>1</v>
      </c>
      <c r="S30" s="440" t="n">
        <f aca="false">IF(ISERROR(R30*I30),0,R30*I30)</f>
        <v>10</v>
      </c>
      <c r="T30" s="440" t="n">
        <f aca="false">IF(ISERROR(R30*I30*J30),0,R30*I30*J30)</f>
        <v>10</v>
      </c>
      <c r="U30" s="452" t="n">
        <f aca="false">IF(ISERROR(R30*J30),0,R30*J30)</f>
        <v>1</v>
      </c>
      <c r="V30" s="441" t="str">
        <f aca="false">IF(AND(A30="",F30=0),"",IF(F30=0,"Il manque le(s) % de rec. !",""))</f>
        <v/>
      </c>
      <c r="W30" s="442"/>
      <c r="Y30" s="443" t="str">
        <f aca="false">IF(A30="new.cod","NEWCOD",IF(AND((Z30=""),ISTEXT(A30)),A30,IF(Z30="","",INDEX('liste reference'!$A$8:$A$904,Z30))))</f>
        <v>PHAARU</v>
      </c>
      <c r="Z30" s="233" t="n">
        <f aca="false">IF(ISERROR(MATCH(A30,'liste reference'!$A$8:$A$904,0)),IF(ISERROR(MATCH(A30,'liste reference'!$B$8:$B$904,0)),"",(MATCH(A30,'liste reference'!$B$8:$B$904,0))),(MATCH(A30,'liste reference'!$A$8:$A$904,0)))</f>
        <v>634</v>
      </c>
      <c r="AA30" s="444"/>
      <c r="AB30" s="445"/>
      <c r="AC30" s="445"/>
      <c r="BB30" s="233" t="n">
        <f aca="false">IF(A30="","",1)</f>
        <v>1</v>
      </c>
    </row>
    <row r="31" customFormat="false" ht="12.75" hidden="false" customHeight="false" outlineLevel="0" collapsed="false">
      <c r="A31" s="446" t="s">
        <v>2390</v>
      </c>
      <c r="B31" s="447"/>
      <c r="C31" s="448" t="n">
        <v>0.01</v>
      </c>
      <c r="D31" s="430" t="str">
        <f aca="false">IF(ISERROR(VLOOKUP($A31,'liste reference'!$A$7:$D$904,2,0)),IF(ISERROR(VLOOKUP($A31,'liste reference'!$B$7:$D$904,1,0)),"",VLOOKUP($A31,'liste reference'!$B$7:$D$904,1,0)),VLOOKUP($A31,'liste reference'!$A$7:$D$904,2,0))</f>
        <v>Ranunculus repens</v>
      </c>
      <c r="E31" s="449" t="e">
        <f aca="false">IF(D31="",0,VLOOKUP(D31,D$22:D30,1,0))</f>
        <v>#N/A</v>
      </c>
      <c r="F31" s="450" t="n">
        <f aca="false">($B31*$B$7+$C31*$C$7)/100</f>
        <v>0.0075</v>
      </c>
      <c r="G31" s="432" t="str">
        <f aca="false">IF(A31="","",IF(ISERROR(VLOOKUP($A31,'liste reference'!$A$7:$P$904,13,0)),IF(ISERROR(VLOOKUP($A31,'liste reference'!$B$7:$P$904,12,0)),"    -",VLOOKUP($A31,'liste reference'!$B$7:$P$904,12,0)),VLOOKUP($A31,'liste reference'!$A$7:$P$904,13,0)))</f>
        <v>PHg</v>
      </c>
      <c r="H31" s="433" t="n">
        <f aca="false">IF(A31="","x",IF(ISERROR(VLOOKUP($A31,'liste reference'!$A$8:$P$904,14,0)),IF(ISERROR(VLOOKUP($A31,'liste reference'!$B$8:$P$904,13,0)),"x",VLOOKUP($A31,'liste reference'!$B$8:$P$904,13,0)),VLOOKUP($A31,'liste reference'!$A$8:$P$904,14,0)))</f>
        <v>9</v>
      </c>
      <c r="I31" s="434" t="n">
        <f aca="false">IF(ISNUMBER(H31),IF(ISERROR(VLOOKUP($A31,'liste reference'!$A$7:$P$904,3,0)),IF(ISERROR(VLOOKUP($A31,'liste reference'!$B$7:$P$904,2,0)),"",VLOOKUP($A31,'liste reference'!$B$7:$P$904,2,0)),VLOOKUP($A31,'liste reference'!$A$7:$P$904,3,0)),"")</f>
        <v>0</v>
      </c>
      <c r="J31" s="434" t="n">
        <f aca="false">IF(ISNUMBER(H31),IF(ISERROR(VLOOKUP($A31,'liste reference'!$A$7:$P$904,4,0)),IF(ISERROR(VLOOKUP($A31,'liste reference'!$B$7:$P$904,3,0)),"",VLOOKUP($A31,'liste reference'!$B$7:$P$904,3,0)),VLOOKUP($A31,'liste reference'!$A$7:$P$904,4,0)),"")</f>
        <v>0</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Ranunculus repens</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1910</v>
      </c>
      <c r="Q31" s="439" t="n">
        <f aca="false">IF(ISTEXT(H31),"",(B31*$B$7/100)+(C31*$C$7/100))</f>
        <v>0.0075</v>
      </c>
      <c r="R31" s="440" t="n">
        <f aca="false">IF(OR(ISTEXT(H31),Q31=0),"",IF(Q31&lt;0.1,1,IF(Q31&lt;1,2,IF(Q31&lt;10,3,IF(Q31&lt;50,4,IF(Q31&gt;=50,5,""))))))</f>
        <v>1</v>
      </c>
      <c r="S31" s="440" t="n">
        <f aca="false">IF(ISERROR(R31*I31),0,R31*I31)</f>
        <v>0</v>
      </c>
      <c r="T31" s="440" t="n">
        <f aca="false">IF(ISERROR(R31*I31*J31),0,R31*I31*J31)</f>
        <v>0</v>
      </c>
      <c r="U31" s="452" t="n">
        <f aca="false">IF(ISERROR(R31*J31),0,R31*J31)</f>
        <v>0</v>
      </c>
      <c r="V31" s="441" t="str">
        <f aca="false">IF(AND(A31="",F31=0),"",IF(F31=0,"Il manque le(s) % de rec. !",""))</f>
        <v/>
      </c>
      <c r="W31" s="442"/>
      <c r="X31" s="442"/>
      <c r="Y31" s="443" t="str">
        <f aca="false">IF(A31="new.cod","NEWCOD",IF(AND((Z31=""),ISTEXT(A31)),A31,IF(Z31="","",INDEX('liste reference'!$A$8:$A$904,Z31))))</f>
        <v>RANREP</v>
      </c>
      <c r="Z31" s="233" t="n">
        <f aca="false">IF(ISERROR(MATCH(A31,'liste reference'!$A$8:$A$904,0)),IF(ISERROR(MATCH(A31,'liste reference'!$B$8:$B$904,0)),"",(MATCH(A31,'liste reference'!$B$8:$B$904,0))),(MATCH(A31,'liste reference'!$A$8:$A$904,0)))</f>
        <v>803</v>
      </c>
      <c r="AA31" s="444"/>
      <c r="AB31" s="445"/>
      <c r="AC31" s="445"/>
      <c r="BB31" s="233" t="n">
        <f aca="false">IF(A31="","",1)</f>
        <v>1</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2679</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CADIERE</v>
      </c>
      <c r="B84" s="482" t="str">
        <f aca="false">C3</f>
        <v>MARIGNANE</v>
      </c>
      <c r="C84" s="483" t="n">
        <f aca="false">A4</f>
        <v>41848</v>
      </c>
      <c r="D84" s="484" t="n">
        <f aca="false">IF(ISERROR(SUM($T$23:$T$82)/SUM($U$23:$U$82)),"",SUM($T$23:$T$82)/SUM($U$23:$U$82))</f>
        <v>7.54545454545455</v>
      </c>
      <c r="E84" s="485" t="n">
        <f aca="false">N13</f>
        <v>9</v>
      </c>
      <c r="F84" s="482" t="n">
        <f aca="false">N14</f>
        <v>9</v>
      </c>
      <c r="G84" s="482" t="n">
        <f aca="false">N15</f>
        <v>5</v>
      </c>
      <c r="H84" s="482" t="n">
        <f aca="false">N16</f>
        <v>3</v>
      </c>
      <c r="I84" s="482" t="n">
        <f aca="false">N17</f>
        <v>0</v>
      </c>
      <c r="J84" s="486" t="n">
        <f aca="false">N8</f>
        <v>7.22222222222222</v>
      </c>
      <c r="K84" s="484" t="n">
        <f aca="false">N9</f>
        <v>4.10359673613764</v>
      </c>
      <c r="L84" s="485" t="n">
        <f aca="false">N10</f>
        <v>0</v>
      </c>
      <c r="M84" s="485" t="n">
        <f aca="false">N11</f>
        <v>12</v>
      </c>
      <c r="N84" s="484" t="n">
        <f aca="false">O8</f>
        <v>1.22222222222222</v>
      </c>
      <c r="O84" s="484" t="n">
        <f aca="false">O9</f>
        <v>0.628539361054709</v>
      </c>
      <c r="P84" s="485" t="n">
        <f aca="false">O10</f>
        <v>0</v>
      </c>
      <c r="Q84" s="485" t="n">
        <f aca="false">O11</f>
        <v>2</v>
      </c>
      <c r="R84" s="485" t="n">
        <f aca="false">F21</f>
        <v>0.1075</v>
      </c>
      <c r="S84" s="485" t="n">
        <f aca="false">K11</f>
        <v>0</v>
      </c>
      <c r="T84" s="485" t="n">
        <f aca="false">K12</f>
        <v>4</v>
      </c>
      <c r="U84" s="485" t="n">
        <f aca="false">K13</f>
        <v>1</v>
      </c>
      <c r="V84" s="487" t="n">
        <f aca="false">K14</f>
        <v>0</v>
      </c>
      <c r="W84" s="488" t="n">
        <f aca="false">K15</f>
        <v>4</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2680</v>
      </c>
      <c r="R86" s="233"/>
      <c r="S86" s="441"/>
      <c r="T86" s="233"/>
      <c r="U86" s="233"/>
      <c r="V86" s="233"/>
    </row>
    <row r="87" customFormat="false" ht="12.75" hidden="true" customHeight="false" outlineLevel="0" collapsed="false">
      <c r="P87" s="233"/>
      <c r="Q87" s="233" t="s">
        <v>2681</v>
      </c>
      <c r="R87" s="233"/>
      <c r="S87" s="441" t="n">
        <f aca="false">VLOOKUP(MAX($S$23:$S$82),($S$23:$U$82),1,0)</f>
        <v>12</v>
      </c>
      <c r="T87" s="233"/>
      <c r="U87" s="233"/>
      <c r="V87" s="233"/>
    </row>
    <row r="88" customFormat="false" ht="12.75" hidden="true" customHeight="false" outlineLevel="0" collapsed="false">
      <c r="P88" s="233"/>
      <c r="Q88" s="233" t="s">
        <v>2682</v>
      </c>
      <c r="R88" s="233"/>
      <c r="S88" s="441" t="n">
        <f aca="false">VLOOKUP((S87),($S$23:$U$82),2,0)</f>
        <v>24</v>
      </c>
      <c r="T88" s="233"/>
      <c r="U88" s="233"/>
      <c r="V88" s="233"/>
    </row>
    <row r="89" customFormat="false" ht="12.75" hidden="true" customHeight="false" outlineLevel="0" collapsed="false">
      <c r="Q89" s="233" t="s">
        <v>2683</v>
      </c>
      <c r="R89" s="233"/>
      <c r="S89" s="441" t="n">
        <f aca="false">VLOOKUP((S87),($S$23:$U$82),3,0)</f>
        <v>2</v>
      </c>
      <c r="T89" s="233"/>
    </row>
    <row r="90" customFormat="false" ht="12.75" hidden="false" customHeight="false" outlineLevel="0" collapsed="false">
      <c r="Q90" s="233" t="s">
        <v>2684</v>
      </c>
      <c r="R90" s="233"/>
      <c r="S90" s="491" t="n">
        <f aca="false">IF(ISERROR(SUM($T$23:$T$82)/SUM($U$23:$U$82)),"",(SUM($T$23:$T$82)-S88)/(SUM($U$23:$U$82)-S89))</f>
        <v>6.55555555555556</v>
      </c>
      <c r="T90" s="233"/>
    </row>
    <row r="91" customFormat="false" ht="12.75" hidden="false" customHeight="false" outlineLevel="0" collapsed="false">
      <c r="Q91" s="440" t="s">
        <v>2685</v>
      </c>
      <c r="R91" s="440"/>
      <c r="S91" s="440" t="str">
        <f aca="false">INDEX('liste reference'!$A$8:$A$904,$T$91)</f>
        <v>FISCRA</v>
      </c>
      <c r="T91" s="233" t="n">
        <f aca="false">IF(ISERROR(MATCH($S$93,'liste reference'!$A$8:$A$904,0)),MATCH($S$93,'liste reference'!$B$8:$B$904,0),(MATCH($S$93,'liste reference'!$A$8:$A$904,0)))</f>
        <v>197</v>
      </c>
      <c r="U91" s="480"/>
    </row>
    <row r="92" customFormat="false" ht="12.75" hidden="false" customHeight="false" outlineLevel="0" collapsed="false">
      <c r="Q92" s="233" t="s">
        <v>2686</v>
      </c>
      <c r="R92" s="233"/>
      <c r="S92" s="233" t="n">
        <f aca="false">MATCH(S87,$S$23:$S$82,0)</f>
        <v>5</v>
      </c>
      <c r="T92" s="233"/>
    </row>
    <row r="93" customFormat="false" ht="12.75" hidden="false" customHeight="false" outlineLevel="0" collapsed="false">
      <c r="Q93" s="440" t="s">
        <v>2687</v>
      </c>
      <c r="R93" s="233"/>
      <c r="S93" s="440" t="str">
        <f aca="false">INDEX($A$23:$A$82,$S$92)</f>
        <v>FISCRA</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2688</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2689</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2690</v>
      </c>
      <c r="C5" s="508"/>
      <c r="D5" s="509"/>
      <c r="E5" s="509"/>
      <c r="F5" s="509"/>
      <c r="G5" s="509"/>
      <c r="H5" s="509"/>
      <c r="I5" s="509"/>
      <c r="J5" s="509"/>
      <c r="K5" s="510" t="s">
        <v>2691</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2692</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2693</v>
      </c>
      <c r="B2" s="237"/>
      <c r="C2" s="238" t="s">
        <v>2694</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2695</v>
      </c>
      <c r="B3" s="237"/>
      <c r="C3" s="236" t="s">
        <v>2696</v>
      </c>
      <c r="D3" s="247"/>
      <c r="E3" s="247"/>
      <c r="F3" s="248"/>
      <c r="G3" s="248"/>
      <c r="H3" s="249"/>
      <c r="I3" s="250"/>
      <c r="J3" s="249"/>
      <c r="K3" s="251" t="s">
        <v>2697</v>
      </c>
      <c r="L3" s="252"/>
      <c r="M3" s="253" t="s">
        <v>2698</v>
      </c>
      <c r="N3" s="254"/>
      <c r="O3" s="254"/>
      <c r="P3" s="255"/>
      <c r="Q3" s="233"/>
      <c r="R3" s="233"/>
      <c r="S3" s="233"/>
      <c r="T3" s="233"/>
      <c r="U3" s="233"/>
      <c r="V3" s="233"/>
      <c r="W3" s="245"/>
      <c r="X3" s="246"/>
    </row>
    <row r="4" customFormat="false" ht="13.5" hidden="false" customHeight="false" outlineLevel="0" collapsed="false">
      <c r="A4" s="256" t="s">
        <v>2699</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2679</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2680</v>
      </c>
      <c r="R86" s="233"/>
      <c r="S86" s="441"/>
      <c r="T86" s="233"/>
      <c r="U86" s="233"/>
      <c r="V86" s="233"/>
    </row>
    <row r="87" customFormat="false" ht="12.75" hidden="true" customHeight="false" outlineLevel="0" collapsed="false">
      <c r="P87" s="233"/>
      <c r="Q87" s="233" t="s">
        <v>2681</v>
      </c>
      <c r="R87" s="233"/>
      <c r="S87" s="441" t="n">
        <f aca="false">VLOOKUP(MAX($S$23:$S$82),($S$23:$U$82),1,0)</f>
        <v>0</v>
      </c>
      <c r="T87" s="233"/>
      <c r="U87" s="233"/>
      <c r="V87" s="233"/>
    </row>
    <row r="88" customFormat="false" ht="12.75" hidden="true" customHeight="false" outlineLevel="0" collapsed="false">
      <c r="P88" s="233"/>
      <c r="Q88" s="233" t="s">
        <v>2682</v>
      </c>
      <c r="R88" s="233"/>
      <c r="S88" s="441" t="n">
        <f aca="false">VLOOKUP((S87),($S$23:$U$82),2,0)</f>
        <v>0</v>
      </c>
      <c r="T88" s="233"/>
      <c r="U88" s="233"/>
      <c r="V88" s="233"/>
    </row>
    <row r="89" customFormat="false" ht="12.75" hidden="true" customHeight="false" outlineLevel="0" collapsed="false">
      <c r="Q89" s="233" t="s">
        <v>2683</v>
      </c>
      <c r="R89" s="233"/>
      <c r="S89" s="441" t="n">
        <f aca="false">VLOOKUP((S87),($S$23:$U$82),3,0)</f>
        <v>0</v>
      </c>
      <c r="T89" s="233"/>
    </row>
    <row r="90" customFormat="false" ht="12.75" hidden="false" customHeight="false" outlineLevel="0" collapsed="false">
      <c r="Q90" s="233" t="s">
        <v>2684</v>
      </c>
      <c r="R90" s="233"/>
      <c r="S90" s="491" t="str">
        <f aca="false">IF(ISERROR(SUM($T$23:$T$82)/SUM($U$23:$U$82)),"",(SUM($T$23:$T$82)-S88)/(SUM($U$23:$U$82)-S89))</f>
        <v/>
      </c>
      <c r="T90" s="233"/>
    </row>
    <row r="91" customFormat="false" ht="12.75" hidden="false" customHeight="false" outlineLevel="0" collapsed="false">
      <c r="Q91" s="440" t="s">
        <v>2685</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2686</v>
      </c>
      <c r="R92" s="233"/>
      <c r="S92" s="233" t="n">
        <f aca="false">MATCH(S87,$S$23:$S$82,0)</f>
        <v>1</v>
      </c>
      <c r="T92" s="233"/>
    </row>
    <row r="93" customFormat="false" ht="12.75" hidden="false" customHeight="false" outlineLevel="0" collapsed="false">
      <c r="Q93" s="440" t="s">
        <v>2687</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2700</v>
      </c>
      <c r="B1" s="549"/>
      <c r="C1" s="549"/>
      <c r="D1" s="549"/>
    </row>
    <row r="2" customFormat="false" ht="15" hidden="false" customHeight="false" outlineLevel="0" collapsed="false">
      <c r="A2" s="550" t="s">
        <v>2701</v>
      </c>
      <c r="B2" s="551"/>
      <c r="C2" s="552"/>
      <c r="D2" s="552"/>
    </row>
    <row r="3" customFormat="false" ht="15.75" hidden="false" customHeight="false" outlineLevel="0" collapsed="false">
      <c r="A3" s="550" t="s">
        <v>2702</v>
      </c>
      <c r="B3" s="551"/>
      <c r="C3" s="552"/>
      <c r="D3" s="553" t="s">
        <v>2703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2704</v>
      </c>
      <c r="G15" s="571"/>
      <c r="H15" s="572" t="s">
        <v>2705</v>
      </c>
      <c r="I15" s="571"/>
    </row>
    <row r="16" customFormat="false" ht="15" hidden="false" customHeight="false" outlineLevel="0" collapsed="false">
      <c r="A16" s="567" t="s">
        <v>1708</v>
      </c>
      <c r="B16" s="566" t="s">
        <v>1709</v>
      </c>
      <c r="C16" s="568"/>
      <c r="D16" s="569"/>
      <c r="F16" s="573" t="s">
        <v>2706</v>
      </c>
      <c r="G16" s="574"/>
      <c r="H16" s="573" t="s">
        <v>2706</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2707</v>
      </c>
      <c r="G18" s="577"/>
      <c r="H18" s="576" t="s">
        <v>2707</v>
      </c>
      <c r="I18" s="578"/>
    </row>
    <row r="19" customFormat="false" ht="15" hidden="false" customHeight="false" outlineLevel="0" collapsed="false">
      <c r="A19" s="565" t="s">
        <v>1711</v>
      </c>
      <c r="B19" s="566" t="s">
        <v>1712</v>
      </c>
      <c r="C19" s="568"/>
      <c r="D19" s="569"/>
      <c r="F19" s="576" t="s">
        <v>2708</v>
      </c>
      <c r="G19" s="577"/>
      <c r="H19" s="576" t="s">
        <v>2708</v>
      </c>
      <c r="I19" s="578"/>
    </row>
    <row r="20" customFormat="false" ht="15" hidden="false" customHeight="false" outlineLevel="0" collapsed="false">
      <c r="A20" s="567" t="s">
        <v>1714</v>
      </c>
      <c r="B20" s="566" t="s">
        <v>1715</v>
      </c>
      <c r="C20" s="568"/>
      <c r="D20" s="569"/>
      <c r="F20" s="576" t="s">
        <v>2709</v>
      </c>
      <c r="G20" s="577"/>
      <c r="H20" s="576" t="s">
        <v>2709</v>
      </c>
      <c r="I20" s="578"/>
    </row>
    <row r="21" customFormat="false" ht="15" hidden="false" customHeight="false" outlineLevel="0" collapsed="false">
      <c r="A21" s="567" t="s">
        <v>1720</v>
      </c>
      <c r="B21" s="566" t="s">
        <v>1721</v>
      </c>
      <c r="C21" s="568"/>
      <c r="D21" s="569"/>
      <c r="F21" s="576" t="s">
        <v>2710</v>
      </c>
      <c r="G21" s="577"/>
      <c r="H21" s="576" t="s">
        <v>2710</v>
      </c>
      <c r="I21" s="578"/>
    </row>
    <row r="22" customFormat="false" ht="15" hidden="false" customHeight="false" outlineLevel="0" collapsed="false">
      <c r="A22" s="565" t="s">
        <v>1726</v>
      </c>
      <c r="B22" s="566" t="s">
        <v>1727</v>
      </c>
      <c r="C22" s="568"/>
      <c r="D22" s="569"/>
      <c r="F22" s="576" t="s">
        <v>2711</v>
      </c>
      <c r="G22" s="577"/>
      <c r="H22" s="576" t="s">
        <v>2711</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2712</v>
      </c>
      <c r="G24" s="577"/>
      <c r="H24" s="576" t="s">
        <v>2712</v>
      </c>
      <c r="I24" s="578"/>
    </row>
    <row r="25" customFormat="false" ht="15" hidden="false" customHeight="false" outlineLevel="0" collapsed="false">
      <c r="A25" s="565" t="s">
        <v>2133</v>
      </c>
      <c r="B25" s="566" t="s">
        <v>2134</v>
      </c>
      <c r="C25" s="568"/>
      <c r="D25" s="569"/>
      <c r="F25" s="579" t="s">
        <v>2713</v>
      </c>
      <c r="G25" s="580"/>
      <c r="H25" s="579" t="s">
        <v>2713</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2714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2013-09-23T16:22:24Z</cp:lastPrinted>
  <dcterms:modified xsi:type="dcterms:W3CDTF">2015-03-31T11:27:20Z</dcterms:modified>
  <cp:revision>0</cp:revision>
  <dc:subject/>
  <dc:title>Feuille d'aide au calcul de l'IBMR</dc:title>
</cp:coreProperties>
</file>