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Huveaune à Marseille"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'Huveaune à Marseille'!$A$1:$O$82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'Huveaune à Marseille'!$H$1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'Huveaune à Marseille'!$A$23:$J$84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<sst xmlns="http://schemas.openxmlformats.org/spreadsheetml/2006/main" count="7342" uniqueCount="2730">
  <si>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</si>
  <si>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</si>
  <si>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</si>
  <si>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</si>
  <si>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</si>
  <si>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</si>
  <si>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</si>
  <si>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</si>
  <si>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</si>
  <si>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</si>
  <si>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</si>
  <si>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</si>
  <si>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</si>
  <si>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</si>
  <si>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</si>
  <si>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</si>
  <si>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</si>
  <si>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</si>
  <si>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</si>
  <si>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</si>
  <si>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</si>
  <si>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</si>
  <si>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</si>
  <si>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</si>
  <si>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</si>
  <si>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</si>
  <si>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</si>
  <si>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</si>
  <si>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</si>
  <si>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</si>
  <si>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</si>
  <si>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</si>
  <si>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</si>
  <si>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</si>
  <si>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</si>
  <si>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</si>
  <si>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</si>
  <si>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</si>
  <si>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</si>
  <si>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</si>
  <si>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</si>
  <si>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</si>
  <si>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</si>
  <si>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</si>
  <si>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</si>
  <si>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</si>
  <si>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</si>
  <si>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</si>
  <si>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</si>
  <si>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</si>
  <si>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</si>
  <si>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</si>
  <si>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</si>
  <si>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</si>
  <si>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</si>
  <si>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</si>
  <si>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</si>
  <si>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</si>
  <si>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</si>
  <si>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</si>
  <si>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</si>
  <si>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</si>
  <si>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</si>
  <si>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</si>
  <si>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</si>
  <si>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</si>
  <si>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</si>
  <si>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</si>
  <si>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</si>
  <si>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</si>
  <si>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</si>
  <si>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</si>
  <si>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</si>
  <si>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</si>
  <si>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</si>
  <si>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</si>
  <si>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</si>
  <si>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</si>
  <si>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</si>
  <si>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</si>
  <si>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</si>
  <si>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</si>
  <si>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</si>
  <si>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</si>
  <si>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</si>
  <si>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</si>
  <si>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</si>
  <si>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</si>
  <si>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</si>
  <si>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</si>
  <si>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</si>
  <si>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</si>
  <si>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</si>
  <si>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</si>
  <si>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</si>
  <si>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</si>
  <si>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</si>
  <si>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</si>
  <si>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</si>
  <si>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</si>
  <si>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</si>
  <si>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</si>
  <si>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</si>
  <si>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</si>
  <si>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</si>
  <si>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</si>
  <si>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</si>
  <si>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</si>
  <si>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</si>
  <si>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</si>
  <si>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</si>
  <si>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</si>
  <si>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</si>
  <si>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</si>
  <si>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</si>
  <si>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</si>
  <si>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</si>
  <si>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</si>
  <si>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</si>
  <si>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</si>
  <si>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</si>
  <si>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</si>
  <si>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</si>
  <si>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</si>
  <si>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</si>
  <si>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</si>
  <si>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</si>
  <si>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</si>
  <si>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</si>
  <si>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</si>
  <si>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</si>
  <si>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</si>
  <si>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</si>
  <si>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</si>
  <si>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</si>
  <si>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</si>
  <si>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</si>
  <si>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</si>
  <si>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</si>
  <si>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</si>
  <si>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</si>
  <si>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</si>
  <si>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</si>
  <si>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</si>
  <si>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</si>
  <si>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</si>
  <si>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</si>
  <si>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</si>
  <si>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</si>
  <si>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</si>
  <si>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</si>
  <si>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</si>
  <si>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</si>
  <si>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</si>
  <si>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</si>
  <si>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</si>
  <si>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</si>
  <si>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</si>
  <si>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</si>
  <si>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</si>
  <si>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</si>
  <si>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</si>
  <si>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</si>
  <si>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</si>
  <si>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</si>
  <si>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</si>
  <si>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</si>
  <si>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</si>
  <si>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</si>
  <si>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</si>
  <si>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</si>
  <si>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</si>
  <si>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</si>
  <si>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</si>
  <si>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</si>
  <si>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</si>
  <si>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</si>
  <si>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</si>
  <si>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</si>
  <si>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</si>
  <si>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</si>
  <si>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</si>
  <si>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</si>
  <si>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</si>
  <si>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</si>
  <si>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</si>
  <si>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</si>
  <si>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</si>
  <si>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</si>
  <si>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</si>
  <si>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</si>
  <si>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</si>
  <si>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</si>
  <si>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</si>
  <si>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</si>
  <si>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</si>
  <si>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</si>
  <si>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</si>
  <si>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</si>
  <si>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</si>
  <si>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</si>
  <si>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</si>
  <si>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</si>
  <si>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</si>
  <si>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</si>
  <si>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</si>
  <si>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</si>
  <si>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</si>
  <si>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</si>
  <si>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</si>
  <si>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</si>
  <si>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</si>
  <si>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</si>
  <si>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</si>
  <si>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</si>
  <si>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</si>
  <si>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</si>
  <si>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</si>
  <si>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</si>
  <si>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</si>
  <si>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</si>
  <si>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</si>
  <si>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</si>
  <si>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</si>
  <si>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</si>
  <si>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</si>
  <si>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</si>
  <si>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</si>
  <si>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</si>
  <si>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</si>
  <si>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</si>
  <si>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</si>
  <si>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</si>
  <si>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</si>
  <si>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</si>
  <si>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</si>
  <si>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</si>
  <si>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</si>
  <si>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</si>
  <si>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</si>
  <si>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</si>
  <si>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</si>
  <si>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</si>
  <si>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</si>
  <si>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</si>
  <si>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</si>
  <si>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</si>
  <si>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</si>
  <si>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</si>
  <si>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</si>
  <si>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</si>
  <si>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</si>
  <si>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</si>
  <si>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</si>
  <si>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</si>
  <si>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</si>
  <si>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</si>
  <si>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</si>
  <si>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</si>
  <si>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</si>
  <si>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</si>
  <si>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</si>
  <si>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</si>
  <si>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</si>
  <si>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</si>
  <si>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</si>
  <si>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</si>
  <si>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</si>
  <si>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</si>
  <si>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</si>
  <si>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</si>
  <si>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</si>
  <si>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</si>
  <si>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</si>
  <si>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</si>
  <si>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</si>
  <si>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</si>
  <si>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</si>
  <si>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</si>
  <si>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</si>
  <si>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</si>
  <si>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</si>
  <si>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</si>
  <si>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</si>
  <si>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</si>
  <si>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</si>
  <si>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</si>
  <si>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</si>
  <si>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</si>
  <si>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</si>
  <si>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</si>
  <si>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</si>
  <si>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</si>
  <si>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</si>
  <si>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</si>
  <si>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</si>
  <si>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</si>
  <si>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</si>
  <si>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</si>
  <si>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</si>
  <si>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</si>
  <si>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</si>
  <si>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</si>
  <si>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</si>
  <si>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</si>
  <si>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</si>
  <si>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</si>
  <si>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</si>
  <si>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</si>
  <si>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</si>
  <si>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</si>
  <si>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</si>
  <si>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</si>
  <si>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</si>
  <si>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</si>
  <si>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</si>
  <si>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</si>
  <si>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</si>
  <si>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</si>
  <si>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</si>
  <si>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</si>
  <si>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</si>
  <si>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</si>
  <si>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</si>
  <si>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</si>
  <si>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</si>
  <si>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</si>
  <si>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</si>
  <si>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</si>
  <si>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</si>
  <si>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</si>
  <si>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</si>
  <si>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</si>
  <si>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</si>
  <si>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</si>
  <si>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</si>
  <si>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</si>
  <si>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</si>
  <si>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</si>
  <si>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</si>
  <si>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</si>
  <si>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</si>
  <si>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</si>
  <si>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</si>
  <si>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</si>
  <si>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</si>
  <si>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</si>
  <si>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</si>
  <si>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</si>
  <si>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</si>
  <si>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</si>
  <si>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</si>
  <si>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</si>
  <si>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</si>
  <si>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</si>
  <si>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</si>
  <si>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</si>
  <si>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</si>
  <si>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</si>
  <si>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</si>
  <si>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</si>
  <si>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</si>
  <si>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</si>
  <si>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</si>
  <si>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</si>
  <si>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</si>
  <si>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</si>
  <si>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</si>
  <si>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</si>
  <si>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</si>
  <si>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</si>
  <si>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</si>
  <si>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</si>
  <si>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</si>
  <si>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</si>
  <si>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</si>
  <si>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</si>
  <si>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</si>
  <si>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</si>
  <si>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</si>
  <si>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</si>
  <si>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</si>
  <si>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</si>
  <si>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</si>
  <si>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</si>
  <si>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</si>
  <si>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</si>
  <si>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</si>
  <si>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</si>
  <si>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</si>
  <si>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</si>
  <si>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</si>
  <si>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</si>
  <si>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</si>
  <si>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</si>
  <si>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</si>
  <si>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</si>
  <si>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</si>
  <si>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</si>
  <si>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</si>
  <si>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</si>
  <si>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</si>
  <si>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</si>
  <si>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</si>
  <si>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</si>
  <si>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</si>
  <si>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</si>
  <si>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</si>
  <si>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</si>
  <si>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</si>
  <si>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</si>
  <si>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</si>
  <si>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</si>
  <si>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</si>
  <si>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</si>
  <si>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</si>
  <si>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</si>
  <si>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</si>
  <si>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</si>
  <si>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</si>
  <si>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</si>
  <si>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</si>
  <si>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</si>
  <si>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</si>
  <si>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</si>
  <si>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</si>
  <si>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</si>
  <si>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</si>
  <si>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</si>
  <si>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</si>
  <si>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</si>
  <si>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</si>
  <si>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</si>
  <si>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</si>
  <si>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</si>
  <si>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</si>
  <si>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</si>
  <si>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</si>
  <si>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</si>
  <si>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</si>
  <si>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</si>
  <si>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</si>
  <si>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</si>
  <si>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</si>
  <si>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</si>
  <si>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</si>
  <si>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</si>
  <si>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</si>
  <si>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</si>
  <si>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</si>
  <si>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</si>
  <si>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</si>
  <si>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</si>
  <si>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</si>
  <si>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</si>
  <si>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</si>
  <si>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</si>
  <si>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</si>
  <si>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</si>
  <si>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</si>
  <si>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</si>
  <si>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</si>
  <si>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</si>
  <si>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</si>
  <si>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</si>
  <si>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</si>
  <si>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</si>
  <si>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</si>
  <si>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</si>
  <si>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</si>
  <si>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</si>
  <si>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</si>
  <si>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</si>
  <si>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</si>
  <si>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</si>
  <si>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</si>
  <si>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</si>
  <si>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</si>
  <si>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</si>
  <si>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</si>
  <si>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</si>
  <si>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</si>
  <si>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</si>
  <si>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</si>
  <si>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</si>
  <si>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</si>
  <si>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</si>
  <si>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</si>
  <si>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</si>
  <si>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</si>
  <si>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</si>
  <si>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</si>
  <si>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</si>
  <si>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</si>
  <si>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</si>
  <si>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</si>
  <si>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</si>
  <si>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</si>
  <si>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</si>
  <si>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</si>
  <si>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</si>
  <si>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</si>
  <si>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</si>
  <si>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</si>
  <si>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</si>
  <si>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</si>
  <si>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</si>
  <si>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</si>
  <si>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</si>
  <si>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</si>
  <si>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</si>
  <si>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</si>
  <si>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</si>
  <si>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</si>
  <si>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</si>
  <si>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</si>
  <si>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</si>
  <si>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</si>
  <si>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</si>
  <si>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</si>
  <si>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</si>
  <si>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</si>
  <si>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</si>
  <si>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</si>
  <si>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</si>
  <si>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</si>
  <si>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</si>
  <si>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</si>
  <si>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</si>
  <si>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</si>
  <si>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</si>
  <si>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</si>
  <si>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</si>
  <si>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</si>
  <si>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</si>
  <si>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</si>
  <si>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</si>
  <si>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</si>
  <si>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</si>
  <si>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</si>
  <si>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</si>
  <si>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</si>
  <si>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</si>
  <si>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</si>
  <si>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</si>
  <si>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</si>
  <si>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</si>
  <si>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</si>
  <si>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</si>
  <si>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</si>
  <si>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</si>
  <si>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</si>
  <si>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</si>
  <si>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</si>
  <si>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</si>
  <si>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</si>
  <si>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</si>
  <si>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</si>
  <si>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</si>
  <si>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</si>
  <si>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</si>
  <si>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</si>
  <si>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</si>
  <si>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</si>
  <si>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</si>
  <si>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</si>
  <si>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</si>
  <si>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</si>
  <si>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</si>
  <si>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</si>
  <si>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</si>
  <si>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</si>
  <si>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</si>
  <si>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</si>
  <si>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</si>
  <si>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</si>
  <si>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</si>
  <si>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</si>
  <si>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</si>
  <si>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</si>
  <si>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</si>
  <si>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</si>
  <si>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</si>
  <si>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</si>
  <si>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</si>
  <si>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</si>
  <si>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</si>
  <si>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</si>
  <si>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</si>
  <si>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</si>
  <si>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</si>
  <si>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</si>
  <si>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</si>
  <si>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</si>
  <si>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</si>
  <si>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</si>
  <si>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</si>
  <si>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</si>
  <si>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</si>
  <si>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</si>
  <si>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</si>
  <si>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</si>
  <si>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</si>
  <si>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</si>
  <si>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</si>
  <si>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</si>
  <si>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</si>
  <si>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</si>
  <si>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</si>
  <si>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</si>
  <si>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</si>
  <si>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</si>
  <si>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</si>
  <si>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</si>
  <si>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</si>
  <si>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</si>
  <si>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</si>
  <si>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</si>
  <si>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</si>
  <si>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</si>
  <si>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</si>
  <si>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</si>
  <si>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</si>
  <si>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</si>
  <si>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</si>
  <si>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</si>
  <si>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</si>
  <si>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</si>
  <si>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</si>
  <si>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</si>
  <si>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</si>
  <si>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</si>
  <si>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</si>
  <si>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</si>
  <si>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</si>
  <si>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</si>
  <si>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</si>
  <si>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</si>
  <si>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</si>
  <si>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</si>
  <si>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</si>
  <si>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</si>
  <si>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</si>
  <si>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</si>
  <si>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</si>
  <si>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</si>
  <si>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</si>
  <si>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</si>
  <si>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</si>
  <si>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</si>
  <si>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</si>
  <si>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</si>
  <si>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</si>
  <si>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</si>
  <si>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</si>
  <si>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</si>
  <si>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</si>
  <si>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</si>
  <si>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</si>
  <si>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</si>
  <si>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</si>
  <si>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</si>
  <si>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</si>
  <si>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</si>
  <si>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</si>
  <si>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</si>
  <si>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</si>
  <si>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</si>
  <si>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</si>
  <si>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</si>
  <si>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</si>
  <si>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</si>
  <si>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</si>
  <si>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</si>
  <si>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</si>
  <si>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</si>
  <si>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</si>
  <si>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</si>
  <si>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</si>
  <si>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</si>
  <si>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</si>
  <si>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</si>
  <si>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</si>
  <si>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</si>
  <si>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</si>
  <si>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</si>
  <si>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</si>
  <si>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</si>
  <si>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</si>
  <si>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</si>
  <si>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</si>
  <si>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</si>
  <si>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</si>
  <si>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</si>
  <si>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</si>
  <si>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</si>
  <si>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</si>
  <si>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</si>
  <si>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</si>
  <si>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</si>
  <si>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</si>
  <si>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</si>
  <si>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</si>
  <si>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</si>
  <si>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</si>
  <si>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</si>
  <si>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</si>
  <si>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</si>
  <si>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</si>
  <si>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</si>
  <si>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</si>
  <si>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</si>
  <si>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</si>
  <si>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</si>
  <si>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</si>
  <si>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</si>
  <si>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</si>
  <si>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</si>
  <si>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</si>
  <si>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</si>
  <si>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</si>
  <si>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</si>
  <si>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</si>
  <si>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</si>
  <si>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</si>
  <si>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</si>
  <si>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</si>
  <si>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</si>
  <si>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</si>
  <si>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</si>
  <si>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</si>
  <si>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</si>
  <si>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</si>
  <si>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</si>
  <si>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</si>
  <si>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</si>
  <si>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</si>
  <si>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</si>
  <si>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</si>
  <si>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</si>
  <si>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</si>
  <si>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</si>
  <si>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</si>
  <si>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</si>
  <si>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</si>
  <si>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</si>
  <si>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</si>
  <si>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</si>
  <si>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</si>
  <si>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</si>
  <si>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</si>
  <si>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</si>
  <si>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</si>
  <si>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</si>
  <si>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</si>
  <si>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</si>
  <si>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</si>
  <si>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</si>
  <si>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</si>
  <si>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</si>
  <si>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</si>
  <si>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</si>
  <si>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</si>
  <si>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</si>
  <si>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</si>
  <si>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</si>
  <si>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</si>
  <si>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</si>
  <si>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</si>
  <si>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</si>
  <si>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</si>
  <si>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</si>
  <si>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</si>
  <si>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</si>
  <si>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</si>
  <si>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</si>
  <si>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</si>
  <si>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</si>
  <si>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</si>
  <si>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</si>
  <si>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</si>
  <si>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</si>
  <si>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</si>
  <si>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</si>
  <si>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</si>
  <si>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</si>
  <si>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</si>
  <si>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</si>
  <si>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</si>
  <si>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</si>
  <si>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</si>
  <si>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</si>
  <si>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</si>
  <si>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</si>
  <si>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</si>
  <si>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</si>
  <si>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</si>
  <si>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</si>
  <si>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</si>
  <si>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</si>
  <si>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</si>
  <si>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</si>
  <si>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</si>
  <si>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</si>
  <si>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</si>
  <si>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</si>
  <si>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</si>
  <si>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</si>
  <si>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</si>
  <si>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</si>
  <si>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</si>
  <si>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</si>
  <si>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</si>
  <si>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</si>
  <si>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</si>
  <si>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</si>
  <si>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</si>
  <si>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</si>
  <si>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</si>
  <si>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</si>
  <si>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</si>
  <si>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</si>
  <si>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</si>
  <si>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</si>
  <si>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</si>
  <si>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</si>
  <si>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</si>
  <si>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</si>
  <si>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</si>
  <si>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</si>
  <si>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</si>
  <si>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</si>
  <si>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</si>
  <si>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</si>
  <si>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</si>
  <si>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</si>
  <si>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</si>
  <si>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</si>
  <si>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</si>
  <si>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</si>
  <si>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</si>
  <si>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</si>
  <si>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</si>
  <si>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</si>
  <si>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</si>
  <si>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</si>
  <si>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</si>
  <si>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</si>
  <si>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</si>
  <si>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</si>
  <si>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</si>
  <si>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</si>
  <si>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</si>
  <si>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</si>
  <si>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</si>
  <si>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</si>
  <si>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</si>
  <si>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</si>
  <si>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</si>
  <si>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</si>
  <si>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</si>
  <si>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</si>
  <si>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</si>
  <si>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</si>
  <si>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</si>
  <si>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</si>
  <si>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</si>
  <si>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</si>
  <si>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</si>
  <si>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</si>
  <si>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</si>
  <si>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</si>
  <si>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</si>
  <si>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</si>
  <si>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</si>
  <si>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</si>
  <si>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</si>
  <si>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</si>
  <si>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</si>
  <si>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</si>
  <si>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</si>
  <si>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</si>
  <si>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</si>
  <si>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</si>
  <si>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</si>
  <si>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</si>
  <si>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</si>
  <si>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</si>
  <si>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</si>
  <si>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</si>
  <si>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</si>
  <si>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</si>
  <si>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</si>
  <si>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</si>
  <si>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</si>
  <si>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</si>
  <si>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</si>
  <si>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</si>
  <si>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</si>
  <si>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</si>
  <si>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</si>
  <si>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</si>
  <si>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</si>
  <si>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</si>
  <si>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</si>
  <si>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</si>
  <si>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</si>
  <si>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</si>
  <si>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</si>
  <si>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</si>
  <si>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</si>
  <si>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</si>
  <si>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</si>
  <si>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</si>
  <si>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</si>
  <si>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</si>
  <si>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</si>
  <si>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</si>
  <si>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</si>
  <si>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</si>
  <si>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</si>
  <si>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</si>
  <si>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</si>
  <si>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</si>
  <si>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</si>
  <si>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</si>
  <si>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</si>
  <si>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</si>
  <si>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</si>
  <si>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</si>
  <si>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</si>
  <si>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</si>
  <si>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</si>
  <si>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</si>
  <si>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</si>
  <si>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</si>
  <si>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</si>
  <si>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</si>
  <si>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</si>
  <si>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</si>
  <si>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</si>
  <si>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</si>
  <si>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</si>
  <si>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</si>
  <si>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</si>
  <si>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</si>
  <si>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</si>
  <si>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</si>
  <si>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</si>
  <si>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</si>
  <si>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</si>
  <si>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</si>
  <si>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</si>
  <si>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</si>
  <si>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</si>
  <si>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</si>
  <si>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</si>
  <si>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</si>
  <si>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</si>
  <si>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</si>
  <si>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</si>
  <si>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</si>
  <si>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</si>
  <si>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</si>
  <si>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</si>
  <si>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</si>
  <si>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</si>
  <si>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</si>
  <si>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</si>
  <si>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</si>
  <si>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</si>
  <si>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</si>
  <si>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</si>
  <si>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</si>
  <si>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</si>
  <si>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</si>
  <si>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</si>
  <si>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</si>
  <si>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</si>
  <si>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</si>
  <si>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</si>
  <si>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</si>
  <si>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</si>
  <si>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</si>
  <si>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</si>
  <si>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</si>
  <si>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</si>
  <si>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</si>
  <si>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</si>
  <si>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</si>
  <si>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</si>
  <si>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</si>
  <si>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</si>
  <si>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</si>
  <si>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</si>
  <si>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</si>
  <si>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</si>
  <si>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</si>
  <si>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</si>
  <si>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</si>
  <si>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</si>
  <si>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</si>
  <si>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</si>
  <si>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</si>
  <si>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</si>
  <si>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</si>
  <si>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</si>
  <si>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</si>
  <si>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</si>
  <si>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</si>
  <si>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</si>
  <si>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</si>
  <si>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</si>
  <si>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</si>
  <si>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</si>
  <si>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</si>
  <si>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</si>
  <si>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</si>
  <si>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</si>
  <si>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</si>
  <si>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</si>
  <si>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</si>
  <si>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</si>
  <si>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</si>
  <si>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</si>
  <si>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</si>
  <si>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</si>
  <si>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</si>
  <si>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</si>
  <si>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</si>
  <si>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</si>
  <si>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</si>
  <si>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</si>
  <si>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</si>
  <si>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</si>
  <si>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</si>
  <si>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</si>
  <si>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</si>
  <si>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</si>
  <si>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</si>
  <si>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</si>
  <si>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</si>
  <si>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</si>
  <si>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</si>
  <si>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</si>
  <si>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</si>
  <si>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</si>
  <si>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</si>
  <si>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</si>
  <si>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</si>
  <si>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</si>
  <si>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</si>
  <si>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</si>
  <si>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</si>
  <si>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</si>
  <si>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</si>
  <si>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</si>
  <si>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</si>
  <si>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</si>
  <si>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</si>
  <si>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</si>
  <si>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</si>
  <si>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</si>
  <si>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</si>
  <si>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</si>
  <si>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</si>
  <si>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</si>
  <si>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</si>
  <si>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</si>
  <si>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</si>
  <si>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</si>
  <si>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</si>
  <si>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</si>
  <si>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</si>
  <si>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</si>
  <si>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</si>
  <si>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</si>
  <si>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</si>
  <si>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</si>
  <si>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</si>
  <si>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</si>
  <si>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</si>
  <si>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</si>
  <si>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</si>
  <si>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</si>
  <si>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</si>
  <si>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</si>
  <si>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</si>
  <si>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</si>
  <si>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</si>
  <si>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</si>
  <si>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</si>
  <si>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</si>
  <si>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</si>
  <si>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</si>
  <si>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</si>
  <si>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</si>
  <si>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</si>
  <si>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</si>
  <si>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</si>
  <si>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</si>
  <si>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</si>
  <si>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</si>
  <si>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</si>
  <si>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</si>
  <si>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</si>
  <si>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</si>
  <si>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</si>
  <si>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</si>
  <si>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</si>
  <si>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</si>
  <si>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</si>
  <si>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</si>
  <si>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</si>
  <si>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</si>
  <si>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</si>
  <si>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</si>
  <si>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</si>
  <si>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</si>
  <si>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</si>
  <si>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</si>
  <si>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</si>
  <si>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</si>
  <si>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</si>
  <si>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</si>
  <si>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</si>
  <si>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</si>
  <si>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</si>
  <si>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</si>
  <si>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</si>
  <si>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</si>
  <si>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</si>
  <si>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</si>
  <si>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</si>
  <si>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</si>
  <si>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</si>
  <si>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</si>
  <si>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</si>
  <si>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</si>
  <si>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</si>
  <si>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</si>
  <si>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</si>
  <si>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</si>
  <si>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</si>
  <si>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</si>
  <si>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</si>
  <si>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</si>
  <si>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</si>
  <si>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</si>
  <si>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</si>
  <si>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</si>
  <si>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</si>
  <si>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</si>
  <si>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</si>
  <si>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</si>
  <si>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</si>
  <si>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</si>
  <si>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</si>
  <si>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</si>
  <si>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</si>
  <si>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</si>
  <si>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</si>
  <si>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</si>
  <si>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</si>
  <si>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</si>
  <si>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</si>
  <si>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</si>
  <si>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</si>
  <si>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</si>
  <si>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</si>
  <si>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</si>
  <si>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</si>
  <si>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</si>
  <si>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</si>
  <si>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</si>
  <si>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</si>
  <si>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</si>
  <si>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</si>
  <si>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</si>
  <si>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</si>
  <si>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</si>
  <si>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</si>
  <si>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</si>
  <si>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</si>
  <si>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</si>
  <si>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</si>
  <si>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</si>
  <si>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</si>
  <si>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</si>
  <si>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</si>
  <si>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</si>
  <si>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</si>
  <si>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</si>
  <si>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</si>
  <si>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</si>
  <si>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</si>
  <si>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</si>
  <si>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</si>
  <si>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</si>
  <si>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</si>
  <si>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</si>
  <si>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</si>
  <si>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</si>
  <si>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</si>
  <si>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</si>
  <si>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</si>
  <si>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</si>
  <si>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</si>
  <si>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</si>
  <si>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</si>
  <si>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</si>
  <si>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</si>
  <si>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</si>
  <si>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</si>
  <si>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</si>
  <si>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</si>
  <si>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</si>
  <si>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</si>
  <si>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</si>
  <si>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</si>
  <si>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</si>
  <si>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</si>
  <si>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</si>
  <si>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</si>
  <si>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</si>
  <si>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</si>
  <si>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</si>
  <si>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</si>
  <si>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</si>
  <si>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</si>
  <si>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</si>
  <si>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</si>
  <si>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</si>
  <si>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</si>
  <si>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</si>
  <si>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</si>
  <si>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</si>
  <si>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</si>
  <si>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</si>
  <si>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</si>
  <si>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</si>
  <si>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</si>
  <si>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</si>
  <si>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</si>
  <si>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</si>
  <si>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</si>
  <si>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</si>
  <si>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</si>
  <si>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</si>
  <si>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</si>
  <si>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</si>
  <si>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</si>
  <si>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</si>
  <si>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</si>
  <si>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</si>
  <si>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</si>
  <si>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</si>
  <si>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</si>
  <si>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</si>
  <si>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</si>
  <si>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</si>
  <si>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</si>
  <si>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</si>
  <si>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</si>
  <si>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</si>
  <si>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</si>
  <si>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</si>
  <si>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</si>
  <si>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</si>
  <si>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</si>
  <si>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</si>
  <si>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</si>
  <si>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</si>
  <si>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</si>
  <si>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</si>
  <si>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</si>
  <si>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</si>
  <si>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</si>
  <si>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</si>
  <si>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</si>
  <si>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</si>
  <si>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</si>
  <si>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</si>
  <si>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</si>
  <si>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</si>
  <si>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</si>
  <si>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</si>
  <si>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</si>
  <si>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</si>
  <si>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</si>
  <si>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</si>
  <si>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</si>
  <si>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</si>
  <si>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</si>
  <si>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</si>
  <si>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</si>
  <si>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</si>
  <si>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</si>
  <si>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</si>
  <si>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</si>
  <si>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</si>
  <si>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</si>
  <si>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</si>
  <si>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</si>
  <si>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</si>
  <si>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</si>
  <si>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</si>
  <si>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</si>
  <si>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</si>
  <si>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</si>
  <si>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</si>
  <si>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</si>
  <si>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</si>
  <si>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</si>
  <si>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</si>
  <si>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</si>
  <si>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</si>
  <si>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</si>
  <si>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</si>
  <si>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</si>
  <si>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</si>
  <si>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</si>
  <si>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</si>
  <si>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</si>
  <si>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</si>
  <si>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</si>
  <si>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</si>
  <si>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</si>
  <si>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</si>
  <si>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</si>
  <si>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</si>
  <si>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</si>
  <si>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</si>
  <si>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</si>
  <si>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</si>
  <si>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</si>
  <si>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</si>
  <si>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</si>
  <si>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</si>
  <si>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</si>
  <si>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</si>
  <si>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</si>
  <si>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</si>
  <si>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</si>
  <si>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</si>
  <si>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</si>
  <si>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</si>
  <si>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</si>
  <si>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</si>
  <si>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</si>
  <si>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</si>
  <si>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</si>
  <si>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</si>
  <si>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</si>
  <si>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</si>
  <si>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</si>
  <si>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</si>
  <si>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</si>
  <si>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</si>
  <si>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</si>
  <si>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</si>
  <si>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</si>
  <si>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</si>
  <si>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</si>
  <si>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</si>
  <si>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</si>
  <si>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</si>
  <si>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</si>
  <si>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</si>
  <si>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</si>
  <si>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</si>
  <si>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</si>
  <si>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</si>
  <si>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</si>
  <si>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</si>
  <si>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</si>
  <si>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</si>
  <si>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</si>
  <si>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</si>
  <si>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</si>
  <si>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</si>
  <si>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</si>
  <si>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</si>
  <si>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</si>
  <si>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</si>
  <si>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</si>
  <si>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</si>
  <si>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</si>
  <si>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</si>
  <si>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</si>
  <si>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</si>
  <si>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</si>
  <si>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</si>
  <si>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</si>
  <si>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</si>
  <si>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</si>
  <si>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</si>
  <si>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</si>
  <si>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</si>
  <si>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</si>
  <si>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</si>
  <si>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</si>
  <si>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</si>
  <si>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</si>
  <si>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</si>
  <si>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</si>
  <si>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</si>
  <si>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</si>
  <si>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</si>
  <si>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</si>
  <si>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</si>
  <si>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</si>
  <si>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</si>
  <si>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</si>
  <si>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</si>
  <si>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</si>
  <si>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</si>
  <si>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</si>
  <si>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</si>
  <si>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</si>
  <si>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</si>
  <si>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</si>
  <si>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</si>
  <si>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</si>
  <si>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</si>
  <si>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</si>
  <si>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</si>
  <si>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</si>
  <si>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</si>
  <si>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</si>
  <si>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</si>
  <si>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</si>
  <si>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</si>
  <si>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</si>
  <si>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</si>
  <si>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</si>
  <si>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</si>
  <si>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</si>
  <si>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</si>
  <si>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</si>
  <si>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</si>
  <si>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</si>
  <si>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</si>
  <si>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</si>
  <si>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</si>
  <si>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</si>
  <si>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</si>
  <si>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</si>
  <si>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</si>
  <si>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</si>
  <si>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</si>
  <si>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</si>
  <si>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</si>
  <si>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</si>
  <si>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</si>
  <si>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</si>
  <si>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</si>
  <si>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</si>
  <si>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</si>
  <si>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</si>
  <si>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</si>
  <si>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</si>
  <si>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</si>
  <si>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</si>
  <si>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</si>
  <si>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</si>
  <si>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</si>
  <si>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</si>
  <si>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</si>
  <si>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</si>
  <si>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</si>
  <si>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</si>
  <si>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</si>
  <si>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</si>
  <si>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</si>
  <si>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</si>
  <si>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</si>
  <si>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</si>
  <si>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</si>
  <si>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</si>
  <si>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</si>
  <si>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</si>
  <si>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</si>
  <si>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</si>
  <si>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</si>
  <si>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</si>
  <si>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</si>
  <si>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</si>
  <si>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</si>
  <si>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</si>
  <si>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</si>
  <si>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</si>
  <si>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</si>
  <si>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</si>
  <si>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</si>
  <si>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</si>
  <si>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</si>
  <si>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</si>
  <si>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</si>
  <si>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</si>
  <si>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</si>
  <si>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</si>
  <si>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</si>
  <si>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</si>
  <si>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</si>
  <si>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</si>
  <si>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</si>
  <si>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</si>
  <si>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</si>
  <si>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</si>
  <si>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</si>
  <si>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</si>
  <si>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</si>
  <si>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</si>
  <si>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</si>
  <si>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</si>
  <si>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</si>
  <si>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</si>
  <si>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</si>
  <si>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</si>
  <si>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</si>
  <si>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</si>
  <si>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</si>
  <si>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</si>
  <si>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</si>
  <si>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</si>
  <si>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</si>
  <si>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</si>
  <si>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</si>
  <si>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</si>
  <si>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</si>
  <si>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</si>
  <si>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</si>
  <si>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</si>
  <si>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</si>
  <si>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</si>
  <si>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</si>
  <si>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</si>
  <si>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</si>
  <si>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</si>
  <si>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</si>
  <si>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</si>
  <si>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</si>
  <si>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</si>
  <si>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</si>
  <si>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</si>
  <si>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</si>
  <si>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</si>
  <si>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</si>
  <si>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</si>
  <si>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</si>
  <si>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</si>
  <si>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</si>
  <si>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</si>
  <si>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</si>
  <si>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</si>
  <si>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</si>
  <si>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</si>
  <si>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</si>
  <si>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</si>
  <si>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</si>
  <si>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</si>
  <si>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</si>
  <si>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</si>
  <si>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</si>
  <si>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</si>
  <si>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</si>
  <si>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</si>
  <si>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</si>
  <si>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</si>
  <si>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</si>
  <si>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</si>
  <si>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</si>
  <si>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</si>
  <si>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</si>
  <si>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</si>
  <si>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</si>
  <si>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</si>
  <si>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</si>
  <si>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</si>
  <si>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</si>
  <si>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</si>
  <si>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</si>
  <si>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</si>
  <si>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</si>
  <si>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</si>
  <si>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</si>
  <si>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</si>
  <si>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</si>
  <si>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</si>
  <si>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</si>
  <si>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</si>
  <si>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</si>
  <si>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</si>
  <si>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</si>
  <si>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</si>
  <si>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</si>
  <si>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</si>
  <si>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</si>
  <si>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</si>
  <si>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</si>
  <si>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</si>
  <si>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</si>
  <si>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</si>
  <si>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</si>
  <si>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</si>
  <si>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</si>
  <si>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</si>
  <si>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</si>
  <si>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</si>
  <si>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</si>
  <si>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</si>
  <si>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</si>
  <si>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</si>
  <si>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</si>
  <si>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</si>
  <si>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</si>
  <si>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</si>
  <si>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</si>
  <si>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</si>
  <si>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</si>
  <si>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</si>
  <si>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</si>
  <si>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</si>
  <si>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</si>
  <si>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</si>
  <si>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</si>
  <si>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</si>
  <si>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</si>
  <si>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</si>
  <si>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</si>
  <si>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</si>
  <si>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</si>
  <si>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</si>
  <si>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</si>
  <si>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</si>
  <si>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</si>
  <si>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</si>
  <si>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</si>
  <si>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</si>
  <si>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</si>
  <si>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</si>
  <si>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</si>
  <si>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</si>
  <si>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</si>
  <si>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</si>
  <si>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</si>
  <si>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</si>
  <si>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</si>
  <si>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</si>
  <si>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</si>
  <si>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</si>
  <si>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</si>
  <si>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</si>
  <si>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</si>
  <si>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</si>
  <si>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</si>
  <si>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</si>
  <si>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</si>
  <si>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</si>
  <si>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</si>
  <si>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</si>
  <si>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</si>
  <si>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</si>
  <si>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</si>
  <si>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</si>
  <si>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</si>
  <si>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</si>
  <si>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</si>
  <si>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</si>
  <si>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</si>
  <si>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</si>
  <si>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</si>
  <si>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</si>
  <si>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</si>
  <si>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</si>
  <si>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</si>
  <si>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</si>
  <si>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</si>
  <si>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</si>
  <si>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</si>
  <si>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</si>
  <si>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</si>
  <si>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</si>
  <si>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</si>
  <si>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</si>
  <si>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</si>
  <si>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</si>
  <si>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</si>
  <si>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</si>
  <si>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</si>
  <si>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</si>
  <si>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</si>
  <si>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</si>
  <si>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</si>
  <si>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</si>
  <si>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</si>
  <si>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</si>
  <si>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</si>
  <si>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</si>
  <si>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</si>
  <si>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</si>
  <si>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</si>
  <si>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</si>
  <si>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</si>
  <si>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</si>
  <si>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</si>
  <si>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</si>
  <si>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</si>
  <si>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</si>
  <si>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</si>
  <si>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</si>
  <si>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</si>
  <si>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</si>
  <si>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</si>
  <si>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</si>
  <si>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</si>
  <si>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</si>
  <si>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</si>
  <si>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</si>
  <si>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</si>
  <si>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</si>
  <si>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</si>
  <si>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</si>
  <si>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</si>
  <si>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</si>
  <si>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</si>
  <si>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</si>
  <si>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</si>
  <si>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</si>
  <si>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</si>
  <si>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</si>
  <si>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</si>
  <si>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</si>
  <si>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</si>
  <si>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</si>
  <si>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</si>
  <si>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</si>
  <si>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</si>
  <si>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</si>
  <si>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</si>
  <si>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</si>
  <si>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</si>
  <si>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</si>
  <si>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</si>
  <si>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</si>
  <si>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</si>
  <si>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</si>
  <si>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</si>
  <si>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</si>
  <si>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</si>
  <si>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</si>
  <si>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</si>
  <si>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</si>
  <si>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</si>
  <si>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</si>
  <si>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</si>
  <si>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</si>
  <si>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</si>
  <si>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</si>
  <si>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</si>
  <si>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</si>
  <si>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</si>
  <si>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</si>
  <si>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</si>
  <si>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</si>
  <si>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</si>
  <si>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</si>
  <si>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</si>
  <si>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</si>
  <si>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</si>
  <si>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</si>
  <si>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</si>
  <si>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</si>
  <si>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</si>
  <si>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</si>
  <si>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</si>
  <si>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</si>
  <si>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</si>
  <si>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</si>
  <si>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</si>
  <si>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</si>
  <si>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</si>
  <si>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</si>
  <si>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</si>
  <si>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</si>
  <si>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</si>
  <si>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</si>
  <si>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</si>
  <si>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</si>
  <si>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</si>
  <si>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</si>
  <si>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</si>
  <si>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</si>
  <si>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</si>
  <si>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</si>
  <si>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</si>
  <si>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</si>
  <si>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</si>
  <si>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</si>
  <si>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</si>
  <si>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</si>
  <si>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</si>
  <si>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</si>
  <si>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</si>
  <si>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</si>
  <si>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</si>
  <si>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</si>
  <si>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</si>
  <si>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</si>
  <si>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</si>
  <si>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</si>
  <si>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</si>
  <si>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</si>
  <si>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</si>
  <si>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</si>
  <si>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</si>
  <si>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</si>
  <si>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</si>
  <si>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</si>
  <si>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</si>
  <si>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</si>
  <si>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</si>
  <si>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</si>
  <si>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</si>
  <si>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</si>
  <si>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</si>
  <si>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</si>
  <si>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</si>
  <si>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</si>
  <si>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</si>
  <si>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</si>
  <si>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</si>
  <si>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</si>
  <si>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</si>
  <si>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</si>
  <si>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</si>
  <si>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</si>
  <si>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</si>
  <si>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</si>
  <si>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</si>
  <si>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</si>
  <si>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</si>
  <si>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</si>
  <si>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</si>
  <si>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</si>
  <si>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</si>
  <si>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</si>
  <si>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</si>
  <si>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</si>
  <si>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</si>
  <si>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</si>
  <si>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</si>
  <si>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</si>
  <si>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</si>
  <si>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</si>
  <si>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</si>
  <si>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</si>
  <si>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</si>
  <si>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</si>
  <si>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</si>
  <si>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</si>
  <si>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</si>
  <si>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</si>
  <si>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</si>
  <si>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</si>
  <si>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</si>
  <si>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</si>
  <si>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</si>
  <si>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</si>
  <si>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</si>
  <si>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</si>
  <si>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</si>
  <si>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</si>
  <si>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</si>
  <si>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</si>
  <si>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</si>
  <si>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</si>
  <si>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</si>
  <si>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</si>
  <si>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</si>
  <si>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</si>
  <si>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</si>
  <si>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</si>
  <si>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</si>
  <si>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</si>
  <si>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</si>
  <si>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</si>
  <si>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</si>
  <si>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</si>
  <si>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</si>
  <si>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</si>
  <si>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</si>
  <si>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</si>
  <si>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</si>
  <si>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</si>
  <si>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</si>
  <si>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</si>
  <si>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</si>
  <si>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</si>
  <si>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</si>
  <si>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</si>
  <si>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</si>
  <si>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</si>
  <si>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</si>
  <si>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</si>
  <si>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</si>
  <si>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</si>
  <si>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</si>
  <si>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</si>
  <si>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</si>
  <si>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</si>
  <si>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</si>
  <si>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</si>
  <si>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</si>
  <si>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</si>
  <si>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</si>
  <si>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</si>
  <si>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</si>
  <si>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</si>
  <si>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</si>
  <si>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</si>
  <si>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</si>
  <si>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</si>
  <si>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</si>
  <si>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</si>
  <si>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</si>
  <si>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</si>
  <si>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</si>
  <si>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</si>
  <si>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</si>
  <si>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</si>
  <si>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</si>
  <si>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</si>
  <si>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</si>
  <si>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</si>
  <si>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</si>
  <si>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</si>
  <si>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</si>
  <si>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</si>
  <si>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</si>
  <si>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</si>
  <si>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</si>
  <si>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</si>
  <si>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</si>
  <si>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</si>
  <si>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</si>
  <si>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</si>
  <si>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</si>
  <si>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</si>
  <si>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</si>
  <si>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</si>
  <si>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</si>
  <si>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</si>
  <si>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</si>
  <si>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</si>
  <si>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</si>
  <si>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</si>
  <si>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</si>
  <si>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</si>
  <si>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</si>
  <si>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</si>
  <si>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</si>
  <si>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</si>
  <si>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</si>
  <si>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</si>
  <si>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</si>
  <si>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</si>
  <si>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</si>
  <si>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</si>
  <si>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</si>
  <si>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</si>
  <si>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</si>
  <si>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</si>
  <si>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</si>
  <si>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</si>
  <si>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</si>
  <si>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</si>
  <si>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</si>
  <si>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</si>
  <si>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</si>
  <si>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</si>
  <si>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</si>
  <si>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</si>
  <si>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</si>
  <si>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</si>
  <si>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</si>
  <si>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</si>
  <si>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</si>
  <si>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</si>
  <si>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</si>
  <si>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</si>
  <si>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</si>
  <si>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</si>
  <si>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</si>
  <si>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</si>
  <si>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</si>
  <si>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</si>
  <si>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</si>
  <si>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</si>
  <si>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</si>
  <si>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</si>
  <si>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</si>
  <si>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</si>
  <si>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</si>
  <si>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</si>
  <si>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</si>
  <si>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</si>
  <si>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</si>
  <si>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</si>
  <si>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</si>
  <si>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</si>
  <si>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</si>
  <si>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</si>
  <si>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</si>
  <si>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</si>
  <si>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</si>
  <si>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</si>
  <si>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</si>
  <si>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</si>
  <si>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</si>
  <si>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</si>
  <si>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</si>
  <si>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</si>
  <si>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</si>
  <si>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</si>
  <si>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</si>
  <si>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</si>
  <si>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</si>
  <si>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</si>
  <si>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</si>
  <si>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</si>
  <si>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</si>
  <si>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</si>
  <si>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</si>
  <si>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</si>
  <si>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</si>
  <si>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</si>
  <si>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</si>
  <si>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</si>
  <si>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</si>
  <si>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</si>
  <si>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</si>
  <si>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</si>
  <si>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</si>
  <si>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</si>
  <si>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</si>
  <si>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</si>
  <si>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</si>
  <si>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</si>
  <si>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</si>
  <si>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</si>
  <si>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</si>
  <si>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</si>
  <si>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</si>
  <si>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</si>
  <si>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</si>
  <si>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</si>
  <si>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</si>
  <si>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</si>
  <si>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</si>
  <si>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</si>
  <si>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</si>
  <si>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</si>
  <si>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</si>
  <si>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</si>
  <si>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</si>
  <si>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</si>
  <si>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</si>
  <si>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</si>
  <si>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</si>
  <si>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</si>
  <si>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</si>
  <si>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</si>
  <si>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</si>
  <si>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</si>
  <si>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</si>
  <si>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</si>
  <si>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</si>
  <si>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</si>
  <si>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</si>
  <si>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</si>
  <si>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</si>
  <si>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</si>
  <si>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</si>
  <si>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</si>
  <si>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</si>
  <si>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</si>
  <si>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</si>
  <si>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</si>
  <si>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</si>
  <si>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</si>
  <si>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</si>
  <si>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</si>
  <si>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</si>
  <si>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</si>
  <si>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</si>
  <si>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</si>
  <si>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</si>
  <si>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</si>
  <si>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</si>
  <si>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</si>
  <si>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</si>
  <si>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</si>
  <si>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</si>
  <si>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</si>
  <si>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</si>
  <si>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</si>
  <si>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</si>
  <si>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</si>
  <si>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</si>
  <si>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</si>
  <si>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</si>
  <si>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</si>
  <si>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</si>
  <si>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</si>
  <si>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</si>
  <si>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</si>
  <si>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</si>
  <si>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</si>
  <si>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</si>
  <si>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</si>
  <si>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</si>
  <si>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</si>
  <si>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</si>
  <si>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</si>
  <si>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</si>
  <si>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</si>
  <si>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</si>
  <si>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</si>
  <si>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</si>
  <si>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</si>
  <si>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</si>
  <si>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</si>
  <si>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</si>
  <si>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</si>
  <si>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</si>
  <si>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</si>
  <si>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</si>
  <si>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</si>
  <si>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</si>
  <si>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</si>
  <si>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</si>
  <si>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</si>
  <si>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</si>
  <si>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</si>
  <si>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</si>
  <si>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</si>
  <si>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</si>
  <si>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</si>
  <si>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</si>
  <si>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</si>
  <si>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</si>
  <si>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</si>
  <si>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</si>
  <si>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</si>
  <si>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</si>
  <si>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</si>
  <si>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</si>
  <si>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</si>
  <si>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</si>
  <si>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</si>
  <si>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</si>
  <si>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</si>
  <si>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</si>
  <si>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</si>
  <si>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</si>
  <si>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</si>
  <si>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</si>
  <si>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</si>
  <si>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</si>
  <si>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</si>
  <si>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</si>
  <si>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</si>
  <si>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</si>
  <si>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</si>
  <si>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</si>
  <si>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</si>
  <si>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</si>
  <si>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</si>
  <si>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</si>
  <si>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</si>
  <si>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</si>
  <si>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</si>
  <si>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</si>
  <si>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</si>
  <si>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</si>
  <si>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</si>
  <si>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</si>
  <si>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</si>
  <si>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</si>
  <si>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</si>
  <si>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</si>
  <si>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</si>
  <si>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</si>
  <si>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</si>
  <si>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</si>
  <si>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</si>
  <si>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</si>
  <si>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</si>
  <si>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</si>
  <si>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</si>
  <si>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</si>
  <si>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</si>
  <si>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</si>
  <si>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</si>
  <si>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</si>
  <si>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</si>
  <si>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</si>
  <si>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</si>
  <si>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</si>
  <si>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</si>
  <si>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</si>
  <si>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</si>
  <si>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</si>
  <si>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</si>
  <si>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</si>
  <si>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</si>
  <si>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</si>
  <si>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</si>
  <si>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</si>
  <si>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</si>
  <si>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</si>
  <si>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</si>
  <si>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</si>
  <si>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</si>
  <si>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</si>
  <si>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</si>
  <si>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</si>
  <si>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</si>
  <si>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</si>
  <si>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</si>
  <si>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</si>
  <si>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</si>
  <si>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</si>
  <si>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</si>
  <si>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</si>
  <si>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</si>
  <si>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</si>
  <si>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</si>
  <si>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</si>
  <si>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</si>
  <si>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</si>
  <si>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</si>
  <si>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</si>
  <si>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</si>
  <si>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</si>
  <si>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</si>
  <si>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</si>
  <si>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</si>
  <si>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</si>
  <si>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</si>
  <si>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</si>
  <si>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</si>
  <si>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</si>
  <si>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</si>
  <si>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</si>
  <si>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</si>
  <si>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</si>
  <si>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</si>
  <si>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</si>
  <si>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</si>
  <si>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</si>
  <si>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</si>
  <si>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</si>
  <si>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</si>
  <si>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</si>
  <si>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</si>
  <si>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</si>
  <si>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</si>
  <si>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</si>
  <si>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</si>
  <si>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</si>
  <si>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</si>
  <si>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</si>
  <si>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</si>
  <si>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</si>
  <si>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</si>
  <si>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</si>
  <si>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</si>
  <si>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</si>
  <si>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</si>
  <si>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</si>
  <si>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</si>
  <si>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</si>
  <si>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</si>
  <si>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</si>
  <si>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</si>
  <si>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</si>
  <si>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</si>
  <si>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</si>
  <si>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</si>
  <si>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</si>
  <si>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</si>
  <si>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</si>
  <si>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</si>
  <si>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</si>
  <si>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</si>
  <si>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</si>
  <si>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</si>
  <si>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</si>
  <si>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</si>
  <si>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</si>
  <si>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</si>
  <si>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</si>
  <si>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</si>
  <si>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</si>
  <si>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</si>
  <si>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</si>
  <si>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</si>
  <si>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</si>
  <si>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</si>
  <si>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</si>
  <si>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</si>
  <si>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</si>
  <si>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</si>
  <si>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</si>
  <si>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</si>
  <si>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</si>
  <si>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</si>
  <si>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</si>
  <si>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</si>
  <si>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</si>
  <si>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</si>
  <si>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</si>
  <si>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</si>
  <si>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</si>
  <si>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</si>
  <si>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</si>
  <si>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</si>
  <si>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</si>
  <si>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</si>
  <si>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</si>
  <si>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</si>
  <si>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</si>
  <si>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</si>
  <si>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</si>
  <si>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</si>
  <si>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</si>
  <si>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</si>
  <si>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</si>
  <si>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</si>
  <si>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</si>
  <si>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</si>
  <si>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</si>
  <si>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</si>
  <si>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</si>
  <si>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</si>
  <si>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</si>
  <si>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</si>
  <si>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</si>
  <si>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</si>
  <si>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</si>
  <si>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</si>
  <si>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</si>
  <si>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</si>
  <si>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</si>
  <si>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</si>
  <si>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</si>
  <si>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</si>
  <si>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</si>
  <si>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</si>
  <si>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</si>
  <si>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</si>
  <si>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</si>
  <si>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</si>
  <si>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</si>
  <si>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</si>
  <si>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</si>
  <si>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</si>
  <si>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</si>
  <si>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</si>
  <si>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</si>
  <si>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</si>
  <si>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</si>
  <si>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</si>
  <si>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</si>
  <si>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</si>
  <si>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</si>
  <si>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</si>
  <si>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</si>
  <si>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</si>
  <si>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</si>
  <si>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</si>
  <si>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</si>
  <si>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</si>
  <si>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</si>
  <si>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</si>
  <si>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</si>
  <si>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</si>
  <si>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</si>
  <si>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</si>
  <si>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</si>
  <si>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</si>
  <si>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</si>
  <si>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</si>
  <si>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</si>
  <si>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</si>
  <si>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</si>
  <si>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</si>
  <si>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</si>
  <si>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</si>
  <si>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</si>
  <si>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</si>
  <si>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</si>
  <si>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</si>
  <si>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</si>
  <si>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</si>
  <si>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</si>
  <si>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</si>
  <si>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</si>
  <si>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</si>
  <si>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</si>
  <si>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</si>
  <si>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</si>
  <si>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</si>
  <si>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</si>
  <si>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</si>
  <si>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</si>
  <si>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</si>
  <si>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</si>
  <si>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</si>
  <si>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</si>
  <si>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</si>
  <si>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</si>
  <si>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</si>
  <si>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</si>
  <si>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</si>
  <si>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</si>
  <si>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</si>
  <si>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</si>
  <si>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</si>
  <si>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</si>
  <si>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</si>
  <si>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</si>
  <si>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</si>
  <si>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</si>
  <si>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</si>
  <si>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</si>
  <si>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</si>
  <si>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</si>
  <si>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</si>
  <si>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</si>
  <si>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</si>
  <si>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</si>
  <si>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</si>
  <si>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</si>
  <si>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</si>
  <si>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</si>
  <si>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</si>
  <si>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</si>
  <si>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</si>
  <si>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</si>
  <si>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</si>
  <si>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</si>
  <si>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</si>
  <si>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</si>
  <si>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</si>
  <si>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</si>
  <si>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</si>
  <si>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</si>
  <si>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</si>
  <si>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</si>
  <si>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</si>
  <si>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</si>
  <si>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</si>
  <si>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</si>
  <si>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</si>
  <si>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</si>
  <si>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</si>
  <si>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</si>
  <si>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</si>
  <si>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</si>
  <si>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</si>
  <si>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</si>
  <si>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</si>
  <si>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</si>
  <si>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</si>
  <si>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</si>
  <si>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</si>
  <si>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</si>
  <si>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</si>
  <si>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</si>
  <si>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</si>
  <si>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</si>
  <si>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</si>
  <si>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</si>
  <si>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</si>
  <si>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</si>
  <si>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</si>
  <si>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</si>
  <si>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</si>
  <si>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</si>
  <si>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</si>
  <si>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</si>
  <si>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</si>
  <si>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</si>
  <si>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</si>
  <si>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</si>
  <si>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</si>
  <si>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</si>
  <si>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</si>
  <si>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</si>
  <si>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</si>
  <si>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</si>
  <si>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</si>
  <si>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</si>
  <si>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</si>
  <si>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</si>
  <si>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</si>
  <si>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</si>
  <si>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</si>
  <si>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</si>
  <si>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</si>
  <si>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</si>
  <si>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</si>
  <si>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</si>
  <si>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</si>
  <si>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</si>
  <si>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</si>
  <si>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</si>
  <si>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</si>
  <si>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</si>
  <si>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</si>
  <si>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</si>
  <si>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</si>
  <si>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</si>
  <si>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</si>
  <si>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</si>
  <si>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</si>
  <si>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</si>
  <si>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</si>
  <si>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</si>
  <si>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</si>
  <si>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</si>
  <si>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</si>
  <si>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</si>
  <si>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</si>
  <si>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</si>
  <si>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</si>
  <si>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</si>
  <si>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</si>
  <si>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</si>
  <si>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</si>
  <si>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</si>
  <si>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</si>
  <si>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</si>
  <si>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</si>
  <si>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</si>
  <si>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</si>
  <si>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</si>
  <si>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</si>
  <si>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</si>
  <si>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</si>
  <si>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</si>
  <si>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</si>
  <si>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</si>
  <si>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</si>
  <si>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</si>
  <si>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</si>
  <si>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</si>
  <si>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</si>
  <si>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</si>
  <si>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</si>
  <si>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</si>
  <si>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</si>
  <si>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</si>
  <si>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</si>
  <si>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</si>
  <si>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</si>
  <si>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</si>
  <si>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</si>
  <si>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</si>
  <si>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</si>
  <si>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</si>
  <si>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</si>
  <si>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</si>
  <si>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</si>
  <si>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</si>
  <si>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</si>
  <si>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</si>
  <si>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</si>
  <si>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</si>
  <si>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</si>
  <si>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</si>
  <si>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</si>
  <si>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</si>
  <si>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</si>
  <si>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</si>
  <si>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</si>
  <si>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</si>
  <si>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</si>
  <si>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</si>
  <si>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</si>
  <si>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</si>
  <si>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</si>
  <si>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</si>
  <si>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</si>
  <si>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</si>
  <si>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</si>
  <si>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</si>
  <si>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</si>
  <si>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</si>
  <si>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</si>
  <si>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</si>
  <si>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</si>
  <si>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</si>
  <si>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</si>
  <si>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HUVEAUNE</t>
  </si>
  <si>
    <t xml:space="preserve">Marseille</t>
  </si>
  <si>
    <t xml:space="preserve">06198100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</si>
  <si>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</si>
  <si>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</si>
  <si>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</si>
  <si>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</si>
  <si>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</si>
  <si>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</si>
  <si>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</si>
  <si>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</si>
  <si>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</si>
  <si>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</si>
  <si>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</si>
  <si>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</si>
  <si>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</si>
  <si>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</si>
  <si>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</si>
  <si>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</si>
  <si>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</si>
  <si>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</si>
  <si>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</si>
  <si>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</si>
  <si>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</si>
  <si>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</si>
  <si>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</si>
  <si>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</si>
  <si>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</si>
  <si>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</si>
  <si>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</si>
  <si>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</si>
  <si>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</si>
  <si>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</si>
  <si>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</si>
  <si>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</si>
  <si>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</si>
  <si>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</si>
  <si>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</si>
  <si>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</si>
  <si>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</si>
  <si>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</si>
  <si>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</si>
  <si>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</si>
  <si>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</si>
  <si>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</si>
  <si>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</si>
  <si>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</si>
  <si>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</si>
  <si>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</si>
  <si>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</si>
  <si>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</si>
  <si>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</si>
  <si>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(3,0078 %)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</si>
  <si>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</si>
  <si>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</si>
  <si>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</si>
  <si>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</si>
  <si>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</si>
  <si>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</si>
  <si>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</si>
  <si>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</si>
  <si>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</si>
  <si>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</si>
  <si>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</si>
  <si>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</si>
  <si>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</si>
  <si>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</si>
  <si>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</si>
  <si>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</si>
  <si>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</si>
  <si>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</si>
  <si>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</si>
  <si>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</si>
  <si>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Gongrosira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</si>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</sst>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6" borderId="55" xfId="0" applyFont="true" applyBorder="true" applyAlignment="true" applyProtection="true">
      <alignment horizontal="left" vertical="top" textRotation="0" wrapText="false" indent="0" shrinkToFit="false"/>
      <protection locked="true" hidden="true"/>
    </xf>
    <xf numFmtId="172" fontId="20" fillId="6"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69"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70" fillId="6" borderId="68" xfId="0" applyFont="true" applyBorder="true" applyAlignment="true" applyProtection="true">
      <alignment horizontal="center" vertical="top" textRotation="0" wrapText="false" indent="0" shrinkToFit="false"/>
      <protection locked="true" hidden="true"/>
    </xf>
    <xf numFmtId="164" fontId="70" fillId="11" borderId="57" xfId="0" applyFont="true" applyBorder="true" applyAlignment="true" applyProtection="true">
      <alignment horizontal="center" vertical="top" textRotation="0" wrapText="false" indent="0" shrinkToFit="false"/>
      <protection locked="true" hidden="true"/>
    </xf>
    <xf numFmtId="164" fontId="71"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2"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3" fillId="12" borderId="32" xfId="0" applyFont="true" applyBorder="true" applyAlignment="true" applyProtection="true">
      <alignment horizontal="left" vertical="top" textRotation="0" wrapText="false" indent="0" shrinkToFit="false"/>
      <protection locked="true" hidden="true"/>
    </xf>
    <xf numFmtId="164" fontId="74" fillId="12" borderId="33" xfId="0" applyFont="true" applyBorder="true" applyAlignment="true" applyProtection="true">
      <alignment horizontal="left" vertical="top" textRotation="0" wrapText="false" indent="0" shrinkToFit="false"/>
      <protection locked="true" hidden="true"/>
    </xf>
    <xf numFmtId="164" fontId="74" fillId="12" borderId="69" xfId="0" applyFont="true" applyBorder="true" applyAlignment="true" applyProtection="true">
      <alignment horizontal="left" vertical="top" textRotation="0" wrapText="false" indent="0" shrinkToFit="false"/>
      <protection locked="true" hidden="true"/>
    </xf>
    <xf numFmtId="164" fontId="74"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5"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3"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4"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6" fillId="0" borderId="0" xfId="0" applyFont="true" applyBorder="false" applyAlignment="false" applyProtection="true">
      <alignment horizontal="general" vertical="bottom" textRotation="0" wrapText="false" indent="0" shrinkToFit="false"/>
      <protection locked="true" hidden="true"/>
    </xf>
    <xf numFmtId="174" fontId="76" fillId="10" borderId="44" xfId="0" applyFont="true" applyBorder="true" applyAlignment="false" applyProtection="true">
      <alignment horizontal="general" vertical="bottom" textRotation="0" wrapText="false" indent="0" shrinkToFit="false"/>
      <protection locked="true" hidden="true"/>
    </xf>
    <xf numFmtId="164" fontId="76"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8"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6"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9" fillId="9" borderId="0" xfId="0" applyFont="true" applyBorder="true" applyAlignment="false" applyProtection="true">
      <alignment horizontal="general" vertical="bottom" textRotation="0" wrapText="false" indent="0" shrinkToFit="false"/>
      <protection locked="true" hidden="true"/>
    </xf>
    <xf numFmtId="164" fontId="79" fillId="9" borderId="33" xfId="0" applyFont="true" applyBorder="true" applyAlignment="false" applyProtection="true">
      <alignment horizontal="general" vertical="bottom" textRotation="0" wrapText="false" indent="0" shrinkToFit="false"/>
      <protection locked="true" hidden="true"/>
    </xf>
    <xf numFmtId="164" fontId="79"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8" fillId="9" borderId="58" xfId="0" applyFont="true" applyBorder="true" applyAlignment="true" applyProtection="true">
      <alignment horizontal="center" vertical="bottom" textRotation="0" wrapText="false" indent="0" shrinkToFit="false"/>
      <protection locked="true" hidden="true"/>
    </xf>
    <xf numFmtId="175" fontId="78"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3"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8" fillId="10" borderId="39" xfId="0" applyFont="true" applyBorder="true" applyAlignment="true" applyProtection="true">
      <alignment horizontal="right" vertical="bottom" textRotation="0" wrapText="false" indent="0" shrinkToFit="false"/>
      <protection locked="true" hidden="true"/>
    </xf>
    <xf numFmtId="174" fontId="78"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8" fillId="6" borderId="0" xfId="0" applyFont="true" applyBorder="false" applyAlignment="false" applyProtection="true">
      <alignment horizontal="general" vertical="bottom" textRotation="0" wrapText="false" indent="0" shrinkToFit="false"/>
      <protection locked="true" hidden="true"/>
    </xf>
    <xf numFmtId="164" fontId="79"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9"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8"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8" fillId="10" borderId="43" xfId="0" applyFont="true" applyBorder="true" applyAlignment="true" applyProtection="true">
      <alignment horizontal="right" vertical="bottom" textRotation="0" wrapText="false" indent="0" shrinkToFit="false"/>
      <protection locked="true" hidden="true"/>
    </xf>
    <xf numFmtId="174" fontId="78" fillId="10" borderId="43" xfId="0" applyFont="true" applyBorder="true" applyAlignment="true" applyProtection="false">
      <alignment horizontal="right" vertical="bottom" textRotation="0" wrapText="false" indent="0" shrinkToFit="false"/>
      <protection locked="true" hidden="false"/>
    </xf>
    <xf numFmtId="164" fontId="7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0"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1" fillId="2" borderId="9" xfId="0" applyFont="true" applyBorder="true" applyAlignment="false" applyProtection="false">
      <alignment horizontal="general" vertical="bottom" textRotation="0" wrapText="false" indent="0" shrinkToFit="false"/>
      <protection locked="true" hidden="false"/>
    </xf>
    <xf numFmtId="164" fontId="82" fillId="2" borderId="0" xfId="0" applyFont="true" applyBorder="true" applyAlignment="true" applyProtection="false">
      <alignment horizontal="general" vertical="bottom" textRotation="0" wrapText="false" indent="0" shrinkToFit="false"/>
      <protection locked="true" hidden="false"/>
    </xf>
    <xf numFmtId="164" fontId="83" fillId="2" borderId="0" xfId="0" applyFont="true" applyBorder="true" applyAlignment="false" applyProtection="false">
      <alignment horizontal="general" vertical="bottom" textRotation="0" wrapText="false" indent="0" shrinkToFit="false"/>
      <protection locked="true" hidden="false"/>
    </xf>
    <xf numFmtId="164" fontId="84"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2"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5" fillId="11" borderId="18" xfId="0" applyFont="true" applyBorder="true" applyAlignment="false" applyProtection="false">
      <alignment horizontal="general" vertical="bottom" textRotation="0" wrapText="false" indent="0" shrinkToFit="false"/>
      <protection locked="true" hidden="false"/>
    </xf>
    <xf numFmtId="164" fontId="85" fillId="0"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0" shrinkToFit="false"/>
      <protection locked="true" hidden="false"/>
    </xf>
    <xf numFmtId="164" fontId="87" fillId="11" borderId="0" xfId="0" applyFont="true" applyBorder="true" applyAlignment="true" applyProtection="false">
      <alignment horizontal="center" vertical="bottom" textRotation="0" wrapText="false" indent="0" shrinkToFit="false"/>
      <protection locked="true" hidden="false"/>
    </xf>
    <xf numFmtId="164" fontId="87" fillId="11" borderId="18" xfId="0" applyFont="true" applyBorder="true" applyAlignment="true" applyProtection="false">
      <alignment horizontal="center" vertical="bottom" textRotation="0" wrapText="false" indent="0" shrinkToFit="false"/>
      <protection locked="true" hidden="false"/>
    </xf>
    <xf numFmtId="164" fontId="87" fillId="0" borderId="0" xfId="0" applyFont="true" applyBorder="true" applyAlignment="true" applyProtection="false">
      <alignment horizontal="center"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general" vertical="bottom" textRotation="0" wrapText="false" indent="0" shrinkToFit="false"/>
      <protection locked="true" hidden="false"/>
    </xf>
    <xf numFmtId="164" fontId="87" fillId="11" borderId="18" xfId="0" applyFont="true" applyBorder="true" applyAlignment="true" applyProtection="false">
      <alignment horizontal="left" vertical="bottom" textRotation="0" wrapText="false" indent="0" shrinkToFit="false"/>
      <protection locked="true" hidden="false"/>
    </xf>
    <xf numFmtId="164" fontId="85" fillId="0" borderId="0" xfId="0" applyFont="true" applyBorder="true" applyAlignment="true" applyProtection="false">
      <alignment horizontal="general" vertical="bottom" textRotation="0" wrapText="false" indent="0" shrinkToFit="false"/>
      <protection locked="true" hidden="false"/>
    </xf>
    <xf numFmtId="164" fontId="85"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1" shrinkToFit="false"/>
      <protection locked="true" hidden="false"/>
    </xf>
    <xf numFmtId="164" fontId="85" fillId="11" borderId="0" xfId="0" applyFont="true" applyBorder="true" applyAlignment="true" applyProtection="false">
      <alignment horizontal="center" vertical="bottom" textRotation="0" wrapText="false" indent="0" shrinkToFit="false"/>
      <protection locked="true" hidden="false"/>
    </xf>
    <xf numFmtId="164" fontId="85" fillId="11" borderId="18" xfId="0" applyFont="true" applyBorder="true" applyAlignment="true" applyProtection="false">
      <alignment horizontal="center" vertical="bottom" textRotation="0" wrapText="false" indent="0" shrinkToFit="false"/>
      <protection locked="true" hidden="false"/>
    </xf>
    <xf numFmtId="164" fontId="85"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9"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5" fillId="11" borderId="11" xfId="0" applyFont="true" applyBorder="true" applyAlignment="false" applyProtection="false">
      <alignment horizontal="general" vertical="bottom" textRotation="0" wrapText="false" indent="0" shrinkToFit="false"/>
      <protection locked="true" hidden="false"/>
    </xf>
    <xf numFmtId="164" fontId="85"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69"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3" fillId="9" borderId="19" xfId="0" applyFont="true" applyBorder="true" applyAlignment="true" applyProtection="false">
      <alignment horizontal="left" vertical="bottom" textRotation="0" wrapText="false" indent="0" shrinkToFit="false"/>
      <protection locked="true" hidden="false"/>
    </xf>
    <xf numFmtId="164" fontId="73"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P15" activeCellId="0" sqref="P15"/>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41848</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10.1666666666667</v>
      </c>
      <c r="M5" s="276"/>
      <c r="N5" s="277" t="s">
        <v>738</v>
      </c>
      <c r="O5" s="278" t="n">
        <v>7.33333333333333</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66</v>
      </c>
      <c r="C7" s="290" t="n">
        <v>34</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8.8</v>
      </c>
      <c r="O8" s="307" t="n">
        <f aca="false">IF(ISERROR(AVERAGE(J23:J82)),"      -",AVERAGE(J23:J82))</f>
        <v>1.6</v>
      </c>
      <c r="P8" s="308"/>
      <c r="Q8" s="233"/>
      <c r="R8" s="233"/>
      <c r="S8" s="233"/>
      <c r="T8" s="233"/>
      <c r="U8" s="233"/>
      <c r="V8" s="233"/>
      <c r="W8" s="245"/>
      <c r="X8" s="246"/>
    </row>
    <row r="9" customFormat="false" ht="13.5" hidden="false" customHeight="false" outlineLevel="0" collapsed="false">
      <c r="A9" s="266" t="s">
        <v>2630</v>
      </c>
      <c r="B9" s="309" t="n">
        <v>3.5</v>
      </c>
      <c r="C9" s="310" t="n">
        <v>2</v>
      </c>
      <c r="D9" s="311"/>
      <c r="E9" s="311"/>
      <c r="F9" s="312" t="n">
        <f aca="false">($B9*$B$7+$C9*$C$7)/100</f>
        <v>2.99</v>
      </c>
      <c r="G9" s="313"/>
      <c r="H9" s="314"/>
      <c r="I9" s="315"/>
      <c r="J9" s="316"/>
      <c r="K9" s="296"/>
      <c r="L9" s="317"/>
      <c r="M9" s="306" t="s">
        <v>2631</v>
      </c>
      <c r="N9" s="307" t="n">
        <f aca="false">IF(ISERROR(STDEVP(I23:I82)),"     -",STDEVP(I23:I82))</f>
        <v>3.42928563989645</v>
      </c>
      <c r="O9" s="307" t="n">
        <f aca="false">IF(ISERROR(STDEVP(J23:J82)),"      -",STDEVP(J23:J82))</f>
        <v>0.8</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4</v>
      </c>
      <c r="O10" s="329" t="n">
        <f aca="false">MIN(J23:J82)</f>
        <v>1</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13</v>
      </c>
      <c r="O11" s="329" t="n">
        <f aca="false">MAX(J23:J82)</f>
        <v>3</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3</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1</v>
      </c>
      <c r="L13" s="339"/>
      <c r="M13" s="350" t="s">
        <v>2642</v>
      </c>
      <c r="N13" s="351" t="n">
        <f aca="false">COUNTIF(F23:F82,"&gt;0")</f>
        <v>6</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5</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1</v>
      </c>
      <c r="L15" s="339"/>
      <c r="M15" s="360" t="s">
        <v>2648</v>
      </c>
      <c r="N15" s="361" t="n">
        <f aca="false">COUNTIF(J23:J82,"=1")</f>
        <v>3</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1</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1</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3.46</v>
      </c>
      <c r="C20" s="389" t="n">
        <f aca="false">SUM(C23:C82)</f>
        <v>2.13</v>
      </c>
      <c r="D20" s="390"/>
      <c r="E20" s="391" t="s">
        <v>2654</v>
      </c>
      <c r="F20" s="392" t="n">
        <f aca="false">($B20*$B$7+$C20*$C$7)/100</f>
        <v>3.0078</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2.2836</v>
      </c>
      <c r="C21" s="402" t="n">
        <f aca="false">C20*C7/100</f>
        <v>0.7242</v>
      </c>
      <c r="D21" s="334" t="str">
        <f aca="false">IF(F21=0,"",IF((ABS(F21-F19))&gt;(0.2*F21),CONCATENATE(" rec. par taxa (",F21," %) supérieur à 20 % !"),""))</f>
        <v> rec. par taxa (3,0078 %) supérieur à 20 % !</v>
      </c>
      <c r="E21" s="403" t="str">
        <f aca="false">IF(F21=0,"",IF((ABS(F21-F19))&gt;(0.2*F21),CONCATENATE("ATTENTION : écart entre rec. par grp (",F19," %) ","et",""),""))</f>
        <v>ATTENTION : écart entre rec. par grp (0 %) et</v>
      </c>
      <c r="F21" s="404" t="n">
        <f aca="false">B21+C21</f>
        <v>3.0078</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0.05</v>
      </c>
      <c r="C23" s="429" t="n">
        <v>0.01</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0.0364</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0.0364</v>
      </c>
      <c r="R23" s="440" t="n">
        <f aca="false">IF(OR(ISTEXT(H23),Q23=0),"",IF(Q23&lt;0.1,1,IF(Q23&lt;1,2,IF(Q23&lt;10,3,IF(Q23&lt;50,4,IF(Q23&gt;=50,5,""))))))</f>
        <v>1</v>
      </c>
      <c r="S23" s="440" t="n">
        <f aca="false">IF(ISERROR(R23*I23),0,R23*I23)</f>
        <v>6</v>
      </c>
      <c r="T23" s="440" t="n">
        <f aca="false">IF(ISERROR(R23*I23*J23),0,R23*I23*J23)</f>
        <v>6</v>
      </c>
      <c r="U23" s="440" t="n">
        <f aca="false">IF(ISERROR(R23*J23),0,R23*J23)</f>
        <v>1</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270</v>
      </c>
      <c r="B24" s="447" t="n">
        <v>0.01</v>
      </c>
      <c r="C24" s="448" t="n">
        <v>0.01</v>
      </c>
      <c r="D24" s="430" t="str">
        <f aca="false">IF(ISERROR(VLOOKUP($A24,'liste reference'!$A$7:$D$904,2,0)),IF(ISERROR(VLOOKUP($A24,'liste reference'!$B$7:$D$904,1,0)),"",VLOOKUP($A24,'liste reference'!$B$7:$D$904,1,0)),VLOOKUP($A24,'liste reference'!$A$7:$D$904,2,0))</f>
        <v>Tetraspora sp.</v>
      </c>
      <c r="E24" s="449" t="e">
        <f aca="false">IF(D24="",0,VLOOKUP(D24,D$22:D23,1,0))</f>
        <v>#N/A</v>
      </c>
      <c r="F24" s="450" t="n">
        <f aca="false">($B24*$B$7+$C24*$C$7)/100</f>
        <v>0.01</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12</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Tetraspora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1138</v>
      </c>
      <c r="Q24" s="439" t="n">
        <f aca="false">IF(ISTEXT(H24),"",(B24*$B$7/100)+(C24*$C$7/100))</f>
        <v>0.01</v>
      </c>
      <c r="R24" s="440" t="n">
        <f aca="false">IF(OR(ISTEXT(H24),Q24=0),"",IF(Q24&lt;0.1,1,IF(Q24&lt;1,2,IF(Q24&lt;10,3,IF(Q24&lt;50,4,IF(Q24&gt;=50,5,""))))))</f>
        <v>1</v>
      </c>
      <c r="S24" s="440" t="n">
        <f aca="false">IF(ISERROR(R24*I24),0,R24*I24)</f>
        <v>12</v>
      </c>
      <c r="T24" s="440" t="n">
        <f aca="false">IF(ISERROR(R24*I24*J24),0,R24*I24*J24)</f>
        <v>12</v>
      </c>
      <c r="U24" s="452" t="n">
        <f aca="false">IF(ISERROR(R24*J24),0,R24*J24)</f>
        <v>1</v>
      </c>
      <c r="V24" s="441" t="str">
        <f aca="false">IF(AND(A24="",F24=0),"",IF(F24=0,"Il manque le(s) % de rec. !",""))</f>
        <v/>
      </c>
      <c r="W24" s="442"/>
      <c r="Y24" s="443" t="str">
        <f aca="false">IF(A24="new.cod","NEWCOD",IF(AND((Z24=""),ISTEXT(A24)),A24,IF(Z24="","",INDEX('liste reference'!$A$8:$A$904,Z24))))</f>
        <v>TETSPX</v>
      </c>
      <c r="Z24" s="233" t="n">
        <f aca="false">IF(ISERROR(MATCH(A24,'liste reference'!$A$8:$A$904,0)),IF(ISERROR(MATCH(A24,'liste reference'!$B$8:$B$904,0)),"",(MATCH(A24,'liste reference'!$B$8:$B$904,0))),(MATCH(A24,'liste reference'!$A$8:$A$904,0)))</f>
        <v>73</v>
      </c>
      <c r="AA24" s="444"/>
      <c r="AB24" s="445"/>
      <c r="AC24" s="445"/>
      <c r="BB24" s="233" t="n">
        <f aca="false">IF(A24="","",1)</f>
        <v>1</v>
      </c>
    </row>
    <row r="25" customFormat="false" ht="12.75" hidden="false" customHeight="false" outlineLevel="0" collapsed="false">
      <c r="A25" s="446" t="s">
        <v>301</v>
      </c>
      <c r="B25" s="447" t="n">
        <v>0.15</v>
      </c>
      <c r="C25" s="448" t="n">
        <v>0.05</v>
      </c>
      <c r="D25" s="430" t="str">
        <f aca="false">IF(ISERROR(VLOOKUP($A25,'liste reference'!$A$7:$D$904,2,0)),IF(ISERROR(VLOOKUP($A25,'liste reference'!$B$7:$D$904,1,0)),"",VLOOKUP($A25,'liste reference'!$B$7:$D$904,1,0)),VLOOKUP($A25,'liste reference'!$A$7:$D$904,2,0))</f>
        <v>Vaucheria sp.</v>
      </c>
      <c r="E25" s="449" t="e">
        <f aca="false">IF(D25="",0,VLOOKUP(D25,D$22:D24,1,0))</f>
        <v>#N/A</v>
      </c>
      <c r="F25" s="450" t="n">
        <f aca="false">($B25*$B$7+$C25*$C$7)/100</f>
        <v>0.116</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4</v>
      </c>
      <c r="J25" s="434" t="n">
        <f aca="false">IF(ISNUMBER(H25),IF(ISERROR(VLOOKUP($A25,'liste reference'!$A$7:$P$904,4,0)),IF(ISERROR(VLOOKUP($A25,'liste reference'!$B$7:$P$904,3,0)),"",VLOOKUP($A25,'liste reference'!$B$7:$P$904,3,0)),VLOOKUP($A25,'liste reference'!$A$7:$P$904,4,0)),"")</f>
        <v>1</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6193</v>
      </c>
      <c r="Q25" s="439" t="n">
        <f aca="false">IF(ISTEXT(H25),"",(B25*$B$7/100)+(C25*$C$7/100))</f>
        <v>0.116</v>
      </c>
      <c r="R25" s="440" t="n">
        <f aca="false">IF(OR(ISTEXT(H25),Q25=0),"",IF(Q25&lt;0.1,1,IF(Q25&lt;1,2,IF(Q25&lt;10,3,IF(Q25&lt;50,4,IF(Q25&gt;=50,5,""))))))</f>
        <v>2</v>
      </c>
      <c r="S25" s="440" t="n">
        <f aca="false">IF(ISERROR(R25*I25),0,R25*I25)</f>
        <v>8</v>
      </c>
      <c r="T25" s="440" t="n">
        <f aca="false">IF(ISERROR(R25*I25*J25),0,R25*I25*J25)</f>
        <v>8</v>
      </c>
      <c r="U25" s="452" t="n">
        <f aca="false">IF(ISERROR(R25*J25),0,R25*J25)</f>
        <v>2</v>
      </c>
      <c r="V25" s="441" t="str">
        <f aca="false">IF(AND(A25="",F25=0),"",IF(F25=0,"Il manque le(s) % de rec. !",""))</f>
        <v/>
      </c>
      <c r="W25" s="442"/>
      <c r="X25" s="442"/>
      <c r="Y25" s="443" t="str">
        <f aca="false">IF(A25="new.cod","NEWCOD",IF(AND((Z25=""),ISTEXT(A25)),A25,IF(Z25="","",INDEX('liste reference'!$A$8:$A$904,Z25))))</f>
        <v>VAUSPX</v>
      </c>
      <c r="Z25" s="233" t="n">
        <f aca="false">IF(ISERROR(MATCH(A25,'liste reference'!$A$8:$A$904,0)),IF(ISERROR(MATCH(A25,'liste reference'!$B$8:$B$904,0)),"",(MATCH(A25,'liste reference'!$B$8:$B$904,0))),(MATCH(A25,'liste reference'!$A$8:$A$904,0)))</f>
        <v>82</v>
      </c>
      <c r="AA25" s="444"/>
      <c r="AB25" s="445"/>
      <c r="AC25" s="445"/>
      <c r="BB25" s="233" t="n">
        <f aca="false">IF(A25="","",1)</f>
        <v>1</v>
      </c>
    </row>
    <row r="26" customFormat="false" ht="12.75" hidden="false" customHeight="false" outlineLevel="0" collapsed="false">
      <c r="A26" s="446" t="s">
        <v>738</v>
      </c>
      <c r="B26" s="447" t="n">
        <v>0.25</v>
      </c>
      <c r="C26" s="448" t="n">
        <v>0.05</v>
      </c>
      <c r="D26" s="430" t="str">
        <f aca="false">IF(ISERROR(VLOOKUP($A26,'liste reference'!$A$7:$D$904,2,0)),IF(ISERROR(VLOOKUP($A26,'liste reference'!$B$7:$D$904,1,0)),"",VLOOKUP($A26,'liste reference'!$B$7:$D$904,1,0)),VLOOKUP($A26,'liste reference'!$A$7:$D$904,2,0))</f>
        <v>Cinclidotus danubicus</v>
      </c>
      <c r="E26" s="449" t="e">
        <f aca="false">IF(D26="",0,VLOOKUP(D26,D$22:D25,1,0))</f>
        <v>#N/A</v>
      </c>
      <c r="F26" s="450" t="n">
        <f aca="false">($B26*$B$7+$C26*$C$7)/100</f>
        <v>0.182</v>
      </c>
      <c r="G26" s="432" t="str">
        <f aca="false">IF(A26="","",IF(ISERROR(VLOOKUP($A26,'liste reference'!$A$7:$P$904,13,0)),IF(ISERROR(VLOOKUP($A26,'liste reference'!$B$7:$P$904,12,0)),"    -",VLOOKUP($A26,'liste reference'!$B$7:$P$904,12,0)),VLOOKUP($A26,'liste reference'!$A$7:$P$904,13,0)))</f>
        <v>BRm</v>
      </c>
      <c r="H26" s="433" t="n">
        <f aca="false">IF(A26="","x",IF(ISERROR(VLOOKUP($A26,'liste reference'!$A$8:$P$904,14,0)),IF(ISERROR(VLOOKUP($A26,'liste reference'!$B$8:$P$904,13,0)),"x",VLOOKUP($A26,'liste reference'!$B$8:$P$904,13,0)),VLOOKUP($A26,'liste reference'!$A$8:$P$904,14,0)))</f>
        <v>5</v>
      </c>
      <c r="I26" s="434" t="n">
        <f aca="false">IF(ISNUMBER(H26),IF(ISERROR(VLOOKUP($A26,'liste reference'!$A$7:$P$904,3,0)),IF(ISERROR(VLOOKUP($A26,'liste reference'!$B$7:$P$904,2,0)),"",VLOOKUP($A26,'liste reference'!$B$7:$P$904,2,0)),VLOOKUP($A26,'liste reference'!$A$7:$P$904,3,0)),"")</f>
        <v>13</v>
      </c>
      <c r="J26" s="434" t="n">
        <f aca="false">IF(ISNUMBER(H26),IF(ISERROR(VLOOKUP($A26,'liste reference'!$A$7:$P$904,4,0)),IF(ISERROR(VLOOKUP($A26,'liste reference'!$B$7:$P$904,3,0)),"",VLOOKUP($A26,'liste reference'!$B$7:$P$904,3,0)),VLOOKUP($A26,'liste reference'!$A$7:$P$904,4,0)),"")</f>
        <v>3</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Cinclidotus danubicus</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1319</v>
      </c>
      <c r="Q26" s="439" t="n">
        <f aca="false">IF(ISTEXT(H26),"",(B26*$B$7/100)+(C26*$C$7/100))</f>
        <v>0.182</v>
      </c>
      <c r="R26" s="440" t="n">
        <f aca="false">IF(OR(ISTEXT(H26),Q26=0),"",IF(Q26&lt;0.1,1,IF(Q26&lt;1,2,IF(Q26&lt;10,3,IF(Q26&lt;50,4,IF(Q26&gt;=50,5,""))))))</f>
        <v>2</v>
      </c>
      <c r="S26" s="440" t="n">
        <f aca="false">IF(ISERROR(R26*I26),0,R26*I26)</f>
        <v>26</v>
      </c>
      <c r="T26" s="440" t="n">
        <f aca="false">IF(ISERROR(R26*I26*J26),0,R26*I26*J26)</f>
        <v>78</v>
      </c>
      <c r="U26" s="452" t="n">
        <f aca="false">IF(ISERROR(R26*J26),0,R26*J26)</f>
        <v>6</v>
      </c>
      <c r="V26" s="441" t="str">
        <f aca="false">IF(AND(A26="",F26=0),"",IF(F26=0,"Il manque le(s) % de rec. !",""))</f>
        <v/>
      </c>
      <c r="W26" s="453"/>
      <c r="Y26" s="443" t="str">
        <f aca="false">IF(A26="new.cod","NEWCOD",IF(AND((Z26=""),ISTEXT(A26)),A26,IF(Z26="","",INDEX('liste reference'!$A$8:$A$904,Z26))))</f>
        <v>CINDAN</v>
      </c>
      <c r="Z26" s="233" t="n">
        <f aca="false">IF(ISERROR(MATCH(A26,'liste reference'!$A$8:$A$904,0)),IF(ISERROR(MATCH(A26,'liste reference'!$B$8:$B$904,0)),"",(MATCH(A26,'liste reference'!$B$8:$B$904,0))),(MATCH(A26,'liste reference'!$A$8:$A$904,0)))</f>
        <v>171</v>
      </c>
      <c r="AA26" s="444"/>
      <c r="AB26" s="445"/>
      <c r="AC26" s="445"/>
      <c r="BB26" s="233" t="n">
        <f aca="false">IF(A26="","",1)</f>
        <v>1</v>
      </c>
    </row>
    <row r="27" customFormat="false" ht="12.75" hidden="false" customHeight="false" outlineLevel="0" collapsed="false">
      <c r="A27" s="446" t="s">
        <v>2002</v>
      </c>
      <c r="B27" s="447"/>
      <c r="C27" s="448" t="n">
        <v>0.01</v>
      </c>
      <c r="D27" s="430" t="str">
        <f aca="false">IF(ISERROR(VLOOKUP($A27,'liste reference'!$A$7:$D$904,2,0)),IF(ISERROR(VLOOKUP($A27,'liste reference'!$B$7:$D$904,1,0)),"",VLOOKUP($A27,'liste reference'!$B$7:$D$904,1,0)),VLOOKUP($A27,'liste reference'!$A$7:$D$904,2,0))</f>
        <v>Phragmites australis</v>
      </c>
      <c r="E27" s="449" t="e">
        <f aca="false">IF(D27="",0,VLOOKUP(D27,D$22:D26,1,0))</f>
        <v>#N/A</v>
      </c>
      <c r="F27" s="450" t="n">
        <f aca="false">($B27*$B$7+$C27*$C$7)/100</f>
        <v>0.0034</v>
      </c>
      <c r="G27" s="432" t="str">
        <f aca="false">IF(A27="","",IF(ISERROR(VLOOKUP($A27,'liste reference'!$A$7:$P$904,13,0)),IF(ISERROR(VLOOKUP($A27,'liste reference'!$B$7:$P$904,12,0)),"    -",VLOOKUP($A27,'liste reference'!$B$7:$P$904,12,0)),VLOOKUP($A27,'liste reference'!$A$7:$P$904,13,0)))</f>
        <v>PHe</v>
      </c>
      <c r="H27" s="433" t="n">
        <f aca="false">IF(A27="","x",IF(ISERROR(VLOOKUP($A27,'liste reference'!$A$8:$P$904,14,0)),IF(ISERROR(VLOOKUP($A27,'liste reference'!$B$8:$P$904,13,0)),"x",VLOOKUP($A27,'liste reference'!$B$8:$P$904,13,0)),VLOOKUP($A27,'liste reference'!$A$8:$P$904,14,0)))</f>
        <v>8</v>
      </c>
      <c r="I27" s="434" t="n">
        <f aca="false">IF(ISNUMBER(H27),IF(ISERROR(VLOOKUP($A27,'liste reference'!$A$7:$P$904,3,0)),IF(ISERROR(VLOOKUP($A27,'liste reference'!$B$7:$P$904,2,0)),"",VLOOKUP($A27,'liste reference'!$B$7:$P$904,2,0)),VLOOKUP($A27,'liste reference'!$A$7:$P$904,3,0)),"")</f>
        <v>9</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Phragmites australis</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1579</v>
      </c>
      <c r="Q27" s="439" t="n">
        <f aca="false">IF(ISTEXT(H27),"",(B27*$B$7/100)+(C27*$C$7/100))</f>
        <v>0.0034</v>
      </c>
      <c r="R27" s="440" t="n">
        <f aca="false">IF(OR(ISTEXT(H27),Q27=0),"",IF(Q27&lt;0.1,1,IF(Q27&lt;1,2,IF(Q27&lt;10,3,IF(Q27&lt;50,4,IF(Q27&gt;=50,5,""))))))</f>
        <v>1</v>
      </c>
      <c r="S27" s="440" t="n">
        <f aca="false">IF(ISERROR(R27*I27),0,R27*I27)</f>
        <v>9</v>
      </c>
      <c r="T27" s="440" t="n">
        <f aca="false">IF(ISERROR(R27*I27*J27),0,R27*I27*J27)</f>
        <v>18</v>
      </c>
      <c r="U27" s="452" t="n">
        <f aca="false">IF(ISERROR(R27*J27),0,R27*J27)</f>
        <v>2</v>
      </c>
      <c r="V27" s="441" t="str">
        <f aca="false">IF(AND(A27="",F27=0),"",IF(F27=0,"Il manque le(s) % de rec. !",""))</f>
        <v/>
      </c>
      <c r="W27" s="442"/>
      <c r="Y27" s="443" t="str">
        <f aca="false">IF(A27="new.cod","NEWCOD",IF(AND((Z27=""),ISTEXT(A27)),A27,IF(Z27="","",INDEX('liste reference'!$A$8:$A$904,Z27))))</f>
        <v>PHRAUS</v>
      </c>
      <c r="Z27" s="233" t="n">
        <f aca="false">IF(ISERROR(MATCH(A27,'liste reference'!$A$8:$A$904,0)),IF(ISERROR(MATCH(A27,'liste reference'!$B$8:$B$904,0)),"",(MATCH(A27,'liste reference'!$B$8:$B$904,0))),(MATCH(A27,'liste reference'!$A$8:$A$904,0)))</f>
        <v>635</v>
      </c>
      <c r="AA27" s="444"/>
      <c r="AB27" s="445"/>
      <c r="AC27" s="445"/>
      <c r="BB27" s="233" t="n">
        <f aca="false">IF(A27="","",1)</f>
        <v>1</v>
      </c>
    </row>
    <row r="28" customFormat="false" ht="12.75" hidden="false" customHeight="false" outlineLevel="0" collapsed="false">
      <c r="A28" s="446" t="s">
        <v>2679</v>
      </c>
      <c r="B28" s="447" t="n">
        <v>3</v>
      </c>
      <c r="C28" s="448" t="n">
        <v>2</v>
      </c>
      <c r="D28" s="430" t="str">
        <f aca="false">IF(ISERROR(VLOOKUP($A28,'liste reference'!$A$7:$D$904,2,0)),IF(ISERROR(VLOOKUP($A28,'liste reference'!$B$7:$D$904,1,0)),"",VLOOKUP($A28,'liste reference'!$B$7:$D$904,1,0)),VLOOKUP($A28,'liste reference'!$A$7:$D$904,2,0))</f>
        <v/>
      </c>
      <c r="E28" s="449" t="n">
        <f aca="false">IF(D28="",0,VLOOKUP(D28,D$20:D23,1,0))</f>
        <v>0</v>
      </c>
      <c r="F28" s="450" t="n">
        <f aca="false">($B28*$B$7+$C28*$C$7)/100</f>
        <v>2.66</v>
      </c>
      <c r="G28" s="432" t="str">
        <f aca="false">IF(A28="","",IF(ISERROR(VLOOKUP($A28,'liste reference'!$A$7:$P$904,13,0)),IF(ISERROR(VLOOKUP($A28,'liste reference'!$B$7:$P$904,12,0)),"    -",VLOOKUP($A28,'liste reference'!$B$7:$P$904,12,0)),VLOOKUP($A28,'liste reference'!$A$7:$P$904,13,0)))</f>
        <v>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Gongrosira sp.</v>
      </c>
      <c r="L28" s="451"/>
      <c r="M28" s="451"/>
      <c r="N28" s="451"/>
      <c r="O28" s="437" t="s">
        <v>2680</v>
      </c>
      <c r="P28" s="438" t="str">
        <f aca="false">IF($A28="NEWCOD",IF($AC28="","No",$AC28),IF(ISTEXT($E28),"DEJA SAISI !",IF($A28="","",IF(ISERROR(VLOOKUP($A28,'liste reference'!A:S,19,FALSE())),IF(ISERROR(VLOOKUP($A28,'liste reference'!B:S,19,FALSE())),"",VLOOKUP($A28,'liste reference'!B:S,19,FALSE())),VLOOKUP($A28,'liste reference'!A:S,19,FALSE())))))</f>
        <v>No</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NEWCOD</v>
      </c>
      <c r="Z28" s="233" t="str">
        <f aca="false">IF(ISERROR(MATCH(A28,'liste reference'!$A$8:$A$904,0)),IF(ISERROR(MATCH(A28,'liste reference'!$B$8:$B$904,0)),"",(MATCH(A28,'liste reference'!$B$8:$B$904,0))),(MATCH(A28,'liste reference'!$A$8:$A$904,0)))</f>
        <v/>
      </c>
      <c r="AA28" s="444" t="s">
        <v>2680</v>
      </c>
      <c r="AB28" s="445" t="s">
        <v>2681</v>
      </c>
      <c r="AC28" s="445"/>
      <c r="BB28" s="233" t="n">
        <f aca="false">IF(A28="","",1)</f>
        <v>1</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IF(D30="",0,VLOOKUP(D30,D$18:D26,1,0))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2682</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HUVEAUNE</v>
      </c>
      <c r="B84" s="482" t="str">
        <f aca="false">C3</f>
        <v>Marseille</v>
      </c>
      <c r="C84" s="483" t="n">
        <f aca="false">A4</f>
        <v>41848</v>
      </c>
      <c r="D84" s="484" t="n">
        <f aca="false">IF(ISERROR(SUM($T$23:$T$82)/SUM($U$23:$U$82)),"",SUM($T$23:$T$82)/SUM($U$23:$U$82))</f>
        <v>10.1666666666667</v>
      </c>
      <c r="E84" s="485" t="n">
        <f aca="false">N13</f>
        <v>6</v>
      </c>
      <c r="F84" s="482" t="n">
        <f aca="false">N14</f>
        <v>5</v>
      </c>
      <c r="G84" s="482" t="n">
        <f aca="false">N15</f>
        <v>3</v>
      </c>
      <c r="H84" s="482" t="n">
        <f aca="false">N16</f>
        <v>1</v>
      </c>
      <c r="I84" s="482" t="n">
        <f aca="false">N17</f>
        <v>1</v>
      </c>
      <c r="J84" s="486" t="n">
        <f aca="false">N8</f>
        <v>8.8</v>
      </c>
      <c r="K84" s="484" t="n">
        <f aca="false">N9</f>
        <v>3.42928563989645</v>
      </c>
      <c r="L84" s="485" t="n">
        <f aca="false">N10</f>
        <v>4</v>
      </c>
      <c r="M84" s="485" t="n">
        <f aca="false">N11</f>
        <v>13</v>
      </c>
      <c r="N84" s="484" t="n">
        <f aca="false">O8</f>
        <v>1.6</v>
      </c>
      <c r="O84" s="484" t="n">
        <f aca="false">O9</f>
        <v>0.8</v>
      </c>
      <c r="P84" s="485" t="n">
        <f aca="false">O10</f>
        <v>1</v>
      </c>
      <c r="Q84" s="485" t="n">
        <f aca="false">O11</f>
        <v>3</v>
      </c>
      <c r="R84" s="485" t="n">
        <f aca="false">F21</f>
        <v>3.0078</v>
      </c>
      <c r="S84" s="485" t="n">
        <f aca="false">K11</f>
        <v>0</v>
      </c>
      <c r="T84" s="485" t="n">
        <f aca="false">K12</f>
        <v>3</v>
      </c>
      <c r="U84" s="485" t="n">
        <f aca="false">K13</f>
        <v>1</v>
      </c>
      <c r="V84" s="487" t="n">
        <f aca="false">K14</f>
        <v>0</v>
      </c>
      <c r="W84" s="488" t="n">
        <f aca="false">K15</f>
        <v>1</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2683</v>
      </c>
      <c r="R86" s="233"/>
      <c r="S86" s="441"/>
      <c r="T86" s="233"/>
      <c r="U86" s="233"/>
      <c r="V86" s="233"/>
    </row>
    <row r="87" customFormat="false" ht="12.75" hidden="true" customHeight="false" outlineLevel="0" collapsed="false">
      <c r="P87" s="233"/>
      <c r="Q87" s="233" t="s">
        <v>2684</v>
      </c>
      <c r="R87" s="233"/>
      <c r="S87" s="441" t="n">
        <f aca="false">VLOOKUP(MAX($S$23:$S$82),($S$23:$U$82),1,0)</f>
        <v>26</v>
      </c>
      <c r="T87" s="233"/>
      <c r="U87" s="233"/>
      <c r="V87" s="233"/>
    </row>
    <row r="88" customFormat="false" ht="12.75" hidden="true" customHeight="false" outlineLevel="0" collapsed="false">
      <c r="P88" s="233"/>
      <c r="Q88" s="233" t="s">
        <v>2685</v>
      </c>
      <c r="R88" s="233"/>
      <c r="S88" s="441" t="n">
        <f aca="false">VLOOKUP((S87),($S$23:$U$82),2,0)</f>
        <v>78</v>
      </c>
      <c r="T88" s="233"/>
      <c r="U88" s="233"/>
      <c r="V88" s="233"/>
    </row>
    <row r="89" customFormat="false" ht="12.75" hidden="true" customHeight="false" outlineLevel="0" collapsed="false">
      <c r="Q89" s="233" t="s">
        <v>2686</v>
      </c>
      <c r="R89" s="233"/>
      <c r="S89" s="441" t="n">
        <f aca="false">VLOOKUP((S87),($S$23:$U$82),3,0)</f>
        <v>6</v>
      </c>
      <c r="T89" s="233"/>
    </row>
    <row r="90" customFormat="false" ht="12.75" hidden="false" customHeight="false" outlineLevel="0" collapsed="false">
      <c r="Q90" s="233" t="s">
        <v>2687</v>
      </c>
      <c r="R90" s="233"/>
      <c r="S90" s="491" t="n">
        <f aca="false">IF(ISERROR(SUM($T$23:$T$82)/SUM($U$23:$U$82)),"",(SUM($T$23:$T$82)-S88)/(SUM($U$23:$U$82)-S89))</f>
        <v>7.33333333333333</v>
      </c>
      <c r="T90" s="233"/>
    </row>
    <row r="91" customFormat="false" ht="12.75" hidden="false" customHeight="false" outlineLevel="0" collapsed="false">
      <c r="Q91" s="440" t="s">
        <v>2688</v>
      </c>
      <c r="R91" s="440"/>
      <c r="S91" s="440" t="str">
        <f aca="false">INDEX('liste reference'!$A$8:$A$904,$T$91)</f>
        <v>CINDAN</v>
      </c>
      <c r="T91" s="233" t="n">
        <f aca="false">IF(ISERROR(MATCH($S$93,'liste reference'!$A$8:$A$904,0)),MATCH($S$93,'liste reference'!$B$8:$B$904,0),(MATCH($S$93,'liste reference'!$A$8:$A$904,0)))</f>
        <v>171</v>
      </c>
      <c r="U91" s="480"/>
    </row>
    <row r="92" customFormat="false" ht="12.75" hidden="false" customHeight="false" outlineLevel="0" collapsed="false">
      <c r="Q92" s="233" t="s">
        <v>2689</v>
      </c>
      <c r="R92" s="233"/>
      <c r="S92" s="233" t="n">
        <f aca="false">MATCH(S87,$S$23:$S$82,0)</f>
        <v>4</v>
      </c>
      <c r="T92" s="233"/>
    </row>
    <row r="93" customFormat="false" ht="12.75" hidden="false" customHeight="false" outlineLevel="0" collapsed="false">
      <c r="Q93" s="440" t="s">
        <v>2690</v>
      </c>
      <c r="R93" s="233"/>
      <c r="S93" s="440" t="str">
        <f aca="false">INDEX($A$23:$A$82,$S$92)</f>
        <v>CINDAN</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2691</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2692</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2693</v>
      </c>
      <c r="C5" s="508"/>
      <c r="D5" s="509"/>
      <c r="E5" s="509"/>
      <c r="F5" s="509"/>
      <c r="G5" s="509"/>
      <c r="H5" s="509"/>
      <c r="I5" s="509"/>
      <c r="J5" s="509"/>
      <c r="K5" s="510" t="s">
        <v>2694</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2695</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2696</v>
      </c>
      <c r="B2" s="237"/>
      <c r="C2" s="238" t="s">
        <v>2697</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2698</v>
      </c>
      <c r="B3" s="237"/>
      <c r="C3" s="236" t="s">
        <v>2699</v>
      </c>
      <c r="D3" s="247"/>
      <c r="E3" s="247"/>
      <c r="F3" s="248"/>
      <c r="G3" s="248"/>
      <c r="H3" s="249"/>
      <c r="I3" s="250"/>
      <c r="J3" s="249"/>
      <c r="K3" s="251" t="s">
        <v>2700</v>
      </c>
      <c r="L3" s="252"/>
      <c r="M3" s="253" t="s">
        <v>2701</v>
      </c>
      <c r="N3" s="254"/>
      <c r="O3" s="254"/>
      <c r="P3" s="255"/>
      <c r="Q3" s="233"/>
      <c r="R3" s="233"/>
      <c r="S3" s="233"/>
      <c r="T3" s="233"/>
      <c r="U3" s="233"/>
      <c r="V3" s="233"/>
      <c r="W3" s="245"/>
      <c r="X3" s="246"/>
    </row>
    <row r="4" customFormat="false" ht="13.5" hidden="false" customHeight="false" outlineLevel="0" collapsed="false">
      <c r="A4" s="256" t="s">
        <v>2702</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2682</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2683</v>
      </c>
      <c r="R86" s="233"/>
      <c r="S86" s="441"/>
      <c r="T86" s="233"/>
      <c r="U86" s="233"/>
      <c r="V86" s="233"/>
    </row>
    <row r="87" customFormat="false" ht="12.75" hidden="true" customHeight="false" outlineLevel="0" collapsed="false">
      <c r="P87" s="233"/>
      <c r="Q87" s="233" t="s">
        <v>2684</v>
      </c>
      <c r="R87" s="233"/>
      <c r="S87" s="441" t="n">
        <f aca="false">VLOOKUP(MAX($S$23:$S$82),($S$23:$U$82),1,0)</f>
        <v>0</v>
      </c>
      <c r="T87" s="233"/>
      <c r="U87" s="233"/>
      <c r="V87" s="233"/>
    </row>
    <row r="88" customFormat="false" ht="12.75" hidden="true" customHeight="false" outlineLevel="0" collapsed="false">
      <c r="P88" s="233"/>
      <c r="Q88" s="233" t="s">
        <v>2685</v>
      </c>
      <c r="R88" s="233"/>
      <c r="S88" s="441" t="n">
        <f aca="false">VLOOKUP((S87),($S$23:$U$82),2,0)</f>
        <v>0</v>
      </c>
      <c r="T88" s="233"/>
      <c r="U88" s="233"/>
      <c r="V88" s="233"/>
    </row>
    <row r="89" customFormat="false" ht="12.75" hidden="true" customHeight="false" outlineLevel="0" collapsed="false">
      <c r="Q89" s="233" t="s">
        <v>2686</v>
      </c>
      <c r="R89" s="233"/>
      <c r="S89" s="441" t="n">
        <f aca="false">VLOOKUP((S87),($S$23:$U$82),3,0)</f>
        <v>0</v>
      </c>
      <c r="T89" s="233"/>
    </row>
    <row r="90" customFormat="false" ht="12.75" hidden="false" customHeight="false" outlineLevel="0" collapsed="false">
      <c r="Q90" s="233" t="s">
        <v>2687</v>
      </c>
      <c r="R90" s="233"/>
      <c r="S90" s="491" t="str">
        <f aca="false">IF(ISERROR(SUM($T$23:$T$82)/SUM($U$23:$U$82)),"",(SUM($T$23:$T$82)-S88)/(SUM($U$23:$U$82)-S89))</f>
        <v/>
      </c>
      <c r="T90" s="233"/>
    </row>
    <row r="91" customFormat="false" ht="12.75" hidden="false" customHeight="false" outlineLevel="0" collapsed="false">
      <c r="Q91" s="440" t="s">
        <v>2688</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2689</v>
      </c>
      <c r="R92" s="233"/>
      <c r="S92" s="233" t="n">
        <f aca="false">MATCH(S87,$S$23:$S$82,0)</f>
        <v>1</v>
      </c>
      <c r="T92" s="233"/>
    </row>
    <row r="93" customFormat="false" ht="12.75" hidden="false" customHeight="false" outlineLevel="0" collapsed="false">
      <c r="Q93" s="440" t="s">
        <v>2690</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2710</v>
      </c>
      <c r="G18" s="577"/>
      <c r="H18" s="576" t="s">
        <v>2710</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2680</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2717</v>
      </c>
    </row>
    <row r="35" customFormat="false" ht="15" hidden="false" customHeight="false" outlineLevel="0" collapsed="false">
      <c r="A35" s="565" t="s">
        <v>52</v>
      </c>
      <c r="B35" s="566" t="s">
        <v>53</v>
      </c>
      <c r="C35" s="568"/>
      <c r="D35" s="569"/>
      <c r="F35" s="583" t="s">
        <v>2718</v>
      </c>
    </row>
    <row r="36" customFormat="false" ht="15" hidden="false" customHeight="false" outlineLevel="0" collapsed="false">
      <c r="A36" s="567" t="s">
        <v>320</v>
      </c>
      <c r="B36" s="566" t="s">
        <v>321</v>
      </c>
      <c r="C36" s="568"/>
      <c r="D36" s="569"/>
      <c r="F36" s="585" t="s">
        <v>2719</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2015-03-12T18:45:07Z</cp:lastPrinted>
  <dcterms:modified xsi:type="dcterms:W3CDTF">2015-03-31T11:20:02Z</dcterms:modified>
  <cp:revision>0</cp:revision>
  <dc:subject/>
  <dc:title>Feuille d'aide au calcul de l'IBMR</dc:title>
</cp:coreProperties>
</file>