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iagne à Mandelieu"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'Siagne à Mandelieu'!$A$1:$O$82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'Siagne à Mandelieu'!$A$23:$J$84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<sst xmlns="http://schemas.openxmlformats.org/spreadsheetml/2006/main" count="7371" uniqueCount="2732">
  <si>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</si>
  <si>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</si>
  <si>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</si>
  <si>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</si>
  <si>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</si>
  <si>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</si>
  <si>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</si>
  <si>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</si>
  <si>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</si>
  <si>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</si>
  <si>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</si>
  <si>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</si>
  <si>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</si>
  <si>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</si>
  <si>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</si>
  <si>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</si>
  <si>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</si>
  <si>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</si>
  <si>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</si>
  <si>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</si>
  <si>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</si>
  <si>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</si>
  <si>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</si>
  <si>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</si>
  <si>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</si>
  <si>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</si>
  <si>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</si>
  <si>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</si>
  <si>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</si>
  <si>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</si>
  <si>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</si>
  <si>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</si>
  <si>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</si>
  <si>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</si>
  <si>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</si>
  <si>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</si>
  <si>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</si>
  <si>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</si>
  <si>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</si>
  <si>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</si>
  <si>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</si>
  <si>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</si>
  <si>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</si>
  <si>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</si>
  <si>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</si>
  <si>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</si>
  <si>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</si>
  <si>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</si>
  <si>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</si>
  <si>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</si>
  <si>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</si>
  <si>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</si>
  <si>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</si>
  <si>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</si>
  <si>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</si>
  <si>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</si>
  <si>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</si>
  <si>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</si>
  <si>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</si>
  <si>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</si>
  <si>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</si>
  <si>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</si>
  <si>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</si>
  <si>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</si>
  <si>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</si>
  <si>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</si>
  <si>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</si>
  <si>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</si>
  <si>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</si>
  <si>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</si>
  <si>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</si>
  <si>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</si>
  <si>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</si>
  <si>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</si>
  <si>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</si>
  <si>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</si>
  <si>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</si>
  <si>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</si>
  <si>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</si>
  <si>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</si>
  <si>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</si>
  <si>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</si>
  <si>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</si>
  <si>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</si>
  <si>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</si>
  <si>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</si>
  <si>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</si>
  <si>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</si>
  <si>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</si>
  <si>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</si>
  <si>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</si>
  <si>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</si>
  <si>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</si>
  <si>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</si>
  <si>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</si>
  <si>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</si>
  <si>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</si>
  <si>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</si>
  <si>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</si>
  <si>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</si>
  <si>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</si>
  <si>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</si>
  <si>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</si>
  <si>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</si>
  <si>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</si>
  <si>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</si>
  <si>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</si>
  <si>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</si>
  <si>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</si>
  <si>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</si>
  <si>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</si>
  <si>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</si>
  <si>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</si>
  <si>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</si>
  <si>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</si>
  <si>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</si>
  <si>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</si>
  <si>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</si>
  <si>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</si>
  <si>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</si>
  <si>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</si>
  <si>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</si>
  <si>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</si>
  <si>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</si>
  <si>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</si>
  <si>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</si>
  <si>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</si>
  <si>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</si>
  <si>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</si>
  <si>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</si>
  <si>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</si>
  <si>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</si>
  <si>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</si>
  <si>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</si>
  <si>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</si>
  <si>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</si>
  <si>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</si>
  <si>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</si>
  <si>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</si>
  <si>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</si>
  <si>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</si>
  <si>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</si>
  <si>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</si>
  <si>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</si>
  <si>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</si>
  <si>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</si>
  <si>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</si>
  <si>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</si>
  <si>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</si>
  <si>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</si>
  <si>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</si>
  <si>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</si>
  <si>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</si>
  <si>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</si>
  <si>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</si>
  <si>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</si>
  <si>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</si>
  <si>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</si>
  <si>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</si>
  <si>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</si>
  <si>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</si>
  <si>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</si>
  <si>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</si>
  <si>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</si>
  <si>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</si>
  <si>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</si>
  <si>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</si>
  <si>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</si>
  <si>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</si>
  <si>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</si>
  <si>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</si>
  <si>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</si>
  <si>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</si>
  <si>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</si>
  <si>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</si>
  <si>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</si>
  <si>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</si>
  <si>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</si>
  <si>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</si>
  <si>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</si>
  <si>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</si>
  <si>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</si>
  <si>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</si>
  <si>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</si>
  <si>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</si>
  <si>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</si>
  <si>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</si>
  <si>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</si>
  <si>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</si>
  <si>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</si>
  <si>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</si>
  <si>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</si>
  <si>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</si>
  <si>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</si>
  <si>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</si>
  <si>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</si>
  <si>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</si>
  <si>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</si>
  <si>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</si>
  <si>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</si>
  <si>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</si>
  <si>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</si>
  <si>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</si>
  <si>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</si>
  <si>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</si>
  <si>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</si>
  <si>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</si>
  <si>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</si>
  <si>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</si>
  <si>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</si>
  <si>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</si>
  <si>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</si>
  <si>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</si>
  <si>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</si>
  <si>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</si>
  <si>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</si>
  <si>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</si>
  <si>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</si>
  <si>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</si>
  <si>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</si>
  <si>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</si>
  <si>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</si>
  <si>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</si>
  <si>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</si>
  <si>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</si>
  <si>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</si>
  <si>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</si>
  <si>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</si>
  <si>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</si>
  <si>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</si>
  <si>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</si>
  <si>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</si>
  <si>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</si>
  <si>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</si>
  <si>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</si>
  <si>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</si>
  <si>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</si>
  <si>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</si>
  <si>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</si>
  <si>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</si>
  <si>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</si>
  <si>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</si>
  <si>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</si>
  <si>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</si>
  <si>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</si>
  <si>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</si>
  <si>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</si>
  <si>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</si>
  <si>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</si>
  <si>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</si>
  <si>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</si>
  <si>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</si>
  <si>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</si>
  <si>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</si>
  <si>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</si>
  <si>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</si>
  <si>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</si>
  <si>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</si>
  <si>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</si>
  <si>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</si>
  <si>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</si>
  <si>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</si>
  <si>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</si>
  <si>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</si>
  <si>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</si>
  <si>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</si>
  <si>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</si>
  <si>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</si>
  <si>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</si>
  <si>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</si>
  <si>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</si>
  <si>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</si>
  <si>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</si>
  <si>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</si>
  <si>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</si>
  <si>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</si>
  <si>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</si>
  <si>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</si>
  <si>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</si>
  <si>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</si>
  <si>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</si>
  <si>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</si>
  <si>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</si>
  <si>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</si>
  <si>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</si>
  <si>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</si>
  <si>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</si>
  <si>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</si>
  <si>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</si>
  <si>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</si>
  <si>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</si>
  <si>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</si>
  <si>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</si>
  <si>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</si>
  <si>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</si>
  <si>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</si>
  <si>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</si>
  <si>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</si>
  <si>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</si>
  <si>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</si>
  <si>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</si>
  <si>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</si>
  <si>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</si>
  <si>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</si>
  <si>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</si>
  <si>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</si>
  <si>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</si>
  <si>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</si>
  <si>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</si>
  <si>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</si>
  <si>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</si>
  <si>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</si>
  <si>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</si>
  <si>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</si>
  <si>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</si>
  <si>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</si>
  <si>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</si>
  <si>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</si>
  <si>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</si>
  <si>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</si>
  <si>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</si>
  <si>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</si>
  <si>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</si>
  <si>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</si>
  <si>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</si>
  <si>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</si>
  <si>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</si>
  <si>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</si>
  <si>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</si>
  <si>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</si>
  <si>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</si>
  <si>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</si>
  <si>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</si>
  <si>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</si>
  <si>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</si>
  <si>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</si>
  <si>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</si>
  <si>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</si>
  <si>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</si>
  <si>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</si>
  <si>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</si>
  <si>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</si>
  <si>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</si>
  <si>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</si>
  <si>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</si>
  <si>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</si>
  <si>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</si>
  <si>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</si>
  <si>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</si>
  <si>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</si>
  <si>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</si>
  <si>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</si>
  <si>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</si>
  <si>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</si>
  <si>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</si>
  <si>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</si>
  <si>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</si>
  <si>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</si>
  <si>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</si>
  <si>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</si>
  <si>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</si>
  <si>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</si>
  <si>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</si>
  <si>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</si>
  <si>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</si>
  <si>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</si>
  <si>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</si>
  <si>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</si>
  <si>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</si>
  <si>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</si>
  <si>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</si>
  <si>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</si>
  <si>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</si>
  <si>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</si>
  <si>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</si>
  <si>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</si>
  <si>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</si>
  <si>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</si>
  <si>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</si>
  <si>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</si>
  <si>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</si>
  <si>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</si>
  <si>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</si>
  <si>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</si>
  <si>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</si>
  <si>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</si>
  <si>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</si>
  <si>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</si>
  <si>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</si>
  <si>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</si>
  <si>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</si>
  <si>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</si>
  <si>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</si>
  <si>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</si>
  <si>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</si>
  <si>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</si>
  <si>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</si>
  <si>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</si>
  <si>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</si>
  <si>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</si>
  <si>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</si>
  <si>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</si>
  <si>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</si>
  <si>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</si>
  <si>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</si>
  <si>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</si>
  <si>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</si>
  <si>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</si>
  <si>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</si>
  <si>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</si>
  <si>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</si>
  <si>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</si>
  <si>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</si>
  <si>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</si>
  <si>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</si>
  <si>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</si>
  <si>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</si>
  <si>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</si>
  <si>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</si>
  <si>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</si>
  <si>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</si>
  <si>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</si>
  <si>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</si>
  <si>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</si>
  <si>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</si>
  <si>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</si>
  <si>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</si>
  <si>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</si>
  <si>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</si>
  <si>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</si>
  <si>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</si>
  <si>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</si>
  <si>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</si>
  <si>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</si>
  <si>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</si>
  <si>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</si>
  <si>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</si>
  <si>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</si>
  <si>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</si>
  <si>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</si>
  <si>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</si>
  <si>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</si>
  <si>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</si>
  <si>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</si>
  <si>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</si>
  <si>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</si>
  <si>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</si>
  <si>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</si>
  <si>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</si>
  <si>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</si>
  <si>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</si>
  <si>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</si>
  <si>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</si>
  <si>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</si>
  <si>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</si>
  <si>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</si>
  <si>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</si>
  <si>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</si>
  <si>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</si>
  <si>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</si>
  <si>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</si>
  <si>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</si>
  <si>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</si>
  <si>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</si>
  <si>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</si>
  <si>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</si>
  <si>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</si>
  <si>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</si>
  <si>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</si>
  <si>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</si>
  <si>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</si>
  <si>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</si>
  <si>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</si>
  <si>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</si>
  <si>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</si>
  <si>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</si>
  <si>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</si>
  <si>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</si>
  <si>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</si>
  <si>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</si>
  <si>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</si>
  <si>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</si>
  <si>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</si>
  <si>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</si>
  <si>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</si>
  <si>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</si>
  <si>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</si>
  <si>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</si>
  <si>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</si>
  <si>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</si>
  <si>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</si>
  <si>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</si>
  <si>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</si>
  <si>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</si>
  <si>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</si>
  <si>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</si>
  <si>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</si>
  <si>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</si>
  <si>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</si>
  <si>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</si>
  <si>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</si>
  <si>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</si>
  <si>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</si>
  <si>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</si>
  <si>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</si>
  <si>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</si>
  <si>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</si>
  <si>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</si>
  <si>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</si>
  <si>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</si>
  <si>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</si>
  <si>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</si>
  <si>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</si>
  <si>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</si>
  <si>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</si>
  <si>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</si>
  <si>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</si>
  <si>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</si>
  <si>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</si>
  <si>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</si>
  <si>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</si>
  <si>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</si>
  <si>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</si>
  <si>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</si>
  <si>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</si>
  <si>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</si>
  <si>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</si>
  <si>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</si>
  <si>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</si>
  <si>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</si>
  <si>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</si>
  <si>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</si>
  <si>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</si>
  <si>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</si>
  <si>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</si>
  <si>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</si>
  <si>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</si>
  <si>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</si>
  <si>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</si>
  <si>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</si>
  <si>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</si>
  <si>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</si>
  <si>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</si>
  <si>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</si>
  <si>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</si>
  <si>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</si>
  <si>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</si>
  <si>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</si>
  <si>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</si>
  <si>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</si>
  <si>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</si>
  <si>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</si>
  <si>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</si>
  <si>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</si>
  <si>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</si>
  <si>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</si>
  <si>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</si>
  <si>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</si>
  <si>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</si>
  <si>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</si>
  <si>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</si>
  <si>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</si>
  <si>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</si>
  <si>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</si>
  <si>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</si>
  <si>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</si>
  <si>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</si>
  <si>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</si>
  <si>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</si>
  <si>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</si>
  <si>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</si>
  <si>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</si>
  <si>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</si>
  <si>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</si>
  <si>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</si>
  <si>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</si>
  <si>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</si>
  <si>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</si>
  <si>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</si>
  <si>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</si>
  <si>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</si>
  <si>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</si>
  <si>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</si>
  <si>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</si>
  <si>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</si>
  <si>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</si>
  <si>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</si>
  <si>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</si>
  <si>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</si>
  <si>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</si>
  <si>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</si>
  <si>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</si>
  <si>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</si>
  <si>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</si>
  <si>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</si>
  <si>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</si>
  <si>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</si>
  <si>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</si>
  <si>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</si>
  <si>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</si>
  <si>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</si>
  <si>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</si>
  <si>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</si>
  <si>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</si>
  <si>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</si>
  <si>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</si>
  <si>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</si>
  <si>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</si>
  <si>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</si>
  <si>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</si>
  <si>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</si>
  <si>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</si>
  <si>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</si>
  <si>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</si>
  <si>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</si>
  <si>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</si>
  <si>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</si>
  <si>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</si>
  <si>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</si>
  <si>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</si>
  <si>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</si>
  <si>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</si>
  <si>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</si>
  <si>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</si>
  <si>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</si>
  <si>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</si>
  <si>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</si>
  <si>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</si>
  <si>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</si>
  <si>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</si>
  <si>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</si>
  <si>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</si>
  <si>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</si>
  <si>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</si>
  <si>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</si>
  <si>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</si>
  <si>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</si>
  <si>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</si>
  <si>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</si>
  <si>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</si>
  <si>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</si>
  <si>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</si>
  <si>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</si>
  <si>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</si>
  <si>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</si>
  <si>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</si>
  <si>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</si>
  <si>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</si>
  <si>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</si>
  <si>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</si>
  <si>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</si>
  <si>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</si>
  <si>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</si>
  <si>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</si>
  <si>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</si>
  <si>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</si>
  <si>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</si>
  <si>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</si>
  <si>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</si>
  <si>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</si>
  <si>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</si>
  <si>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</si>
  <si>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</si>
  <si>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</si>
  <si>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</si>
  <si>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</si>
  <si>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</si>
  <si>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</si>
  <si>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</si>
  <si>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</si>
  <si>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</si>
  <si>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</si>
  <si>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</si>
  <si>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</si>
  <si>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</si>
  <si>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</si>
  <si>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</si>
  <si>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</si>
  <si>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</si>
  <si>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</si>
  <si>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</si>
  <si>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</si>
  <si>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</si>
  <si>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</si>
  <si>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</si>
  <si>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</si>
  <si>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</si>
  <si>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</si>
  <si>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</si>
  <si>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</si>
  <si>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</si>
  <si>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</si>
  <si>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</si>
  <si>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</si>
  <si>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</si>
  <si>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</si>
  <si>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</si>
  <si>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</si>
  <si>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</si>
  <si>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</si>
  <si>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</si>
  <si>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</si>
  <si>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</si>
  <si>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</si>
  <si>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</si>
  <si>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</si>
  <si>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</si>
  <si>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</si>
  <si>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</si>
  <si>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</si>
  <si>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</si>
  <si>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</si>
  <si>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</si>
  <si>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</si>
  <si>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</si>
  <si>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</si>
  <si>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</si>
  <si>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</si>
  <si>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</si>
  <si>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</si>
  <si>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</si>
  <si>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</si>
  <si>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</si>
  <si>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</si>
  <si>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</si>
  <si>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</si>
  <si>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</si>
  <si>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</si>
  <si>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</si>
  <si>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</si>
  <si>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</si>
  <si>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</si>
  <si>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</si>
  <si>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</si>
  <si>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</si>
  <si>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</si>
  <si>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</si>
  <si>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</si>
  <si>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</si>
  <si>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</si>
  <si>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</si>
  <si>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</si>
  <si>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</si>
  <si>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</si>
  <si>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</si>
  <si>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</si>
  <si>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</si>
  <si>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</si>
  <si>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</si>
  <si>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</si>
  <si>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</si>
  <si>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</si>
  <si>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</si>
  <si>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</si>
  <si>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</si>
  <si>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</si>
  <si>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</si>
  <si>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</si>
  <si>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</si>
  <si>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</si>
  <si>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</si>
  <si>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</si>
  <si>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</si>
  <si>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</si>
  <si>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</si>
  <si>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</si>
  <si>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</si>
  <si>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</si>
  <si>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</si>
  <si>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</si>
  <si>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</si>
  <si>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</si>
  <si>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</si>
  <si>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</si>
  <si>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</si>
  <si>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</si>
  <si>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</si>
  <si>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</si>
  <si>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</si>
  <si>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</si>
  <si>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</si>
  <si>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</si>
  <si>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</si>
  <si>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</si>
  <si>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</si>
  <si>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</si>
  <si>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</si>
  <si>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</si>
  <si>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</si>
  <si>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</si>
  <si>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</si>
  <si>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</si>
  <si>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</si>
  <si>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</si>
  <si>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</si>
  <si>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</si>
  <si>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</si>
  <si>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</si>
  <si>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</si>
  <si>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</si>
  <si>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</si>
  <si>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</si>
  <si>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</si>
  <si>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</si>
  <si>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</si>
  <si>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</si>
  <si>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</si>
  <si>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</si>
  <si>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</si>
  <si>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</si>
  <si>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</si>
  <si>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</si>
  <si>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</si>
  <si>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</si>
  <si>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</si>
  <si>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</si>
  <si>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</si>
  <si>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</si>
  <si>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</si>
  <si>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</si>
  <si>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</si>
  <si>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</si>
  <si>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</si>
  <si>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</si>
  <si>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</si>
  <si>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</si>
  <si>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</si>
  <si>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</si>
  <si>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</si>
  <si>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</si>
  <si>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</si>
  <si>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</si>
  <si>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</si>
  <si>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</si>
  <si>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</si>
  <si>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</si>
  <si>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</si>
  <si>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</si>
  <si>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</si>
  <si>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</si>
  <si>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</si>
  <si>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</si>
  <si>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</si>
  <si>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</si>
  <si>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</si>
  <si>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</si>
  <si>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</si>
  <si>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</si>
  <si>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</si>
  <si>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</si>
  <si>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</si>
  <si>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</si>
  <si>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</si>
  <si>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</si>
  <si>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</si>
  <si>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</si>
  <si>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</si>
  <si>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</si>
  <si>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</si>
  <si>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</si>
  <si>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</si>
  <si>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</si>
  <si>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</si>
  <si>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</si>
  <si>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</si>
  <si>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</si>
  <si>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</si>
  <si>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</si>
  <si>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</si>
  <si>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</si>
  <si>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</si>
  <si>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</si>
  <si>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</si>
  <si>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</si>
  <si>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</si>
  <si>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</si>
  <si>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</si>
  <si>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</si>
  <si>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</si>
  <si>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</si>
  <si>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</si>
  <si>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</si>
  <si>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</si>
  <si>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</si>
  <si>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</si>
  <si>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</si>
  <si>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</si>
  <si>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</si>
  <si>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</si>
  <si>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</si>
  <si>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</si>
  <si>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</si>
  <si>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</si>
  <si>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</si>
  <si>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</si>
  <si>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</si>
  <si>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</si>
  <si>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</si>
  <si>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</si>
  <si>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</si>
  <si>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</si>
  <si>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</si>
  <si>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</si>
  <si>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</si>
  <si>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</si>
  <si>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</si>
  <si>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</si>
  <si>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</si>
  <si>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</si>
  <si>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</si>
  <si>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</si>
  <si>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</si>
  <si>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</si>
  <si>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</si>
  <si>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</si>
  <si>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</si>
  <si>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</si>
  <si>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</si>
  <si>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</si>
  <si>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</si>
  <si>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</si>
  <si>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</si>
  <si>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</si>
  <si>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</si>
  <si>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</si>
  <si>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</si>
  <si>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</si>
  <si>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</si>
  <si>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</si>
  <si>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</si>
  <si>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</si>
  <si>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</si>
  <si>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</si>
  <si>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</si>
  <si>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</si>
  <si>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</si>
  <si>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</si>
  <si>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</si>
  <si>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</si>
  <si>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</si>
  <si>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</si>
  <si>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</si>
  <si>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</si>
  <si>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</si>
  <si>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</si>
  <si>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</si>
  <si>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</si>
  <si>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</si>
  <si>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</si>
  <si>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</si>
  <si>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</si>
  <si>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</si>
  <si>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</si>
  <si>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</si>
  <si>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</si>
  <si>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</si>
  <si>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</si>
  <si>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</si>
  <si>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</si>
  <si>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</si>
  <si>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</si>
  <si>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</si>
  <si>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</si>
  <si>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</si>
  <si>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</si>
  <si>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</si>
  <si>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</si>
  <si>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</si>
  <si>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</si>
  <si>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</si>
  <si>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</si>
  <si>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</si>
  <si>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</si>
  <si>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</si>
  <si>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</si>
  <si>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</si>
  <si>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</si>
  <si>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</si>
  <si>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</si>
  <si>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</si>
  <si>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</si>
  <si>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</si>
  <si>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</si>
  <si>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</si>
  <si>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</si>
  <si>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</si>
  <si>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</si>
  <si>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</si>
  <si>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</si>
  <si>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</si>
  <si>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</si>
  <si>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</si>
  <si>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</si>
  <si>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</si>
  <si>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</si>
  <si>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</si>
  <si>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</si>
  <si>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</si>
  <si>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</si>
  <si>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</si>
  <si>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</si>
  <si>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</si>
  <si>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</si>
  <si>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</si>
  <si>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</si>
  <si>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</si>
  <si>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</si>
  <si>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</si>
  <si>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</si>
  <si>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</si>
  <si>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</si>
  <si>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</si>
  <si>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</si>
  <si>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</si>
  <si>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</si>
  <si>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</si>
  <si>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</si>
  <si>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</si>
  <si>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</si>
  <si>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</si>
  <si>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</si>
  <si>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</si>
  <si>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</si>
  <si>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</si>
  <si>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</si>
  <si>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</si>
  <si>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</si>
  <si>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</si>
  <si>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</si>
  <si>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</si>
  <si>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</si>
  <si>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</si>
  <si>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</si>
  <si>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</si>
  <si>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</si>
  <si>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</si>
  <si>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</si>
  <si>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</si>
  <si>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</si>
  <si>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</si>
  <si>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</si>
  <si>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</si>
  <si>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</si>
  <si>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</si>
  <si>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</si>
  <si>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</si>
  <si>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</si>
  <si>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</si>
  <si>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</si>
  <si>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</si>
  <si>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</si>
  <si>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</si>
  <si>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</si>
  <si>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</si>
  <si>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</si>
  <si>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</si>
  <si>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</si>
  <si>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</si>
  <si>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</si>
  <si>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</si>
  <si>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</si>
  <si>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</si>
  <si>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</si>
  <si>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</si>
  <si>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</si>
  <si>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</si>
  <si>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</si>
  <si>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</si>
  <si>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</si>
  <si>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</si>
  <si>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</si>
  <si>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</si>
  <si>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</si>
  <si>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</si>
  <si>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</si>
  <si>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</si>
  <si>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</si>
  <si>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</si>
  <si>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</si>
  <si>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</si>
  <si>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</si>
  <si>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</si>
  <si>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</si>
  <si>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</si>
  <si>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</si>
  <si>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</si>
  <si>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</si>
  <si>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</si>
  <si>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</si>
  <si>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</si>
  <si>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</si>
  <si>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</si>
  <si>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</si>
  <si>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</si>
  <si>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</si>
  <si>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</si>
  <si>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</si>
  <si>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</si>
  <si>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</si>
  <si>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</si>
  <si>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</si>
  <si>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</si>
  <si>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</si>
  <si>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</si>
  <si>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</si>
  <si>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</si>
  <si>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</si>
  <si>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</si>
  <si>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</si>
  <si>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</si>
  <si>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</si>
  <si>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</si>
  <si>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</si>
  <si>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</si>
  <si>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</si>
  <si>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</si>
  <si>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</si>
  <si>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</si>
  <si>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</si>
  <si>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</si>
  <si>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</si>
  <si>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</si>
  <si>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</si>
  <si>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</si>
  <si>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</si>
  <si>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</si>
  <si>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</si>
  <si>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</si>
  <si>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</si>
  <si>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</si>
  <si>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</si>
  <si>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</si>
  <si>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</si>
  <si>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</si>
  <si>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</si>
  <si>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</si>
  <si>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</si>
  <si>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</si>
  <si>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</si>
  <si>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</si>
  <si>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</si>
  <si>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</si>
  <si>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</si>
  <si>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</si>
  <si>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</si>
  <si>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</si>
  <si>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</si>
  <si>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</si>
  <si>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</si>
  <si>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</si>
  <si>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</si>
  <si>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</si>
  <si>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</si>
  <si>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</si>
  <si>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</si>
  <si>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</si>
  <si>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</si>
  <si>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</si>
  <si>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</si>
  <si>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</si>
  <si>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</si>
  <si>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</si>
  <si>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</si>
  <si>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</si>
  <si>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</si>
  <si>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</si>
  <si>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</si>
  <si>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</si>
  <si>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</si>
  <si>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</si>
  <si>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</si>
  <si>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</si>
  <si>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</si>
  <si>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</si>
  <si>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</si>
  <si>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</si>
  <si>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</si>
  <si>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</si>
  <si>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</si>
  <si>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</si>
  <si>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</si>
  <si>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</si>
  <si>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</si>
  <si>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</si>
  <si>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</si>
  <si>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</si>
  <si>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</si>
  <si>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</si>
  <si>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</si>
  <si>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</si>
  <si>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</si>
  <si>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</si>
  <si>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</si>
  <si>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</si>
  <si>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</si>
  <si>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</si>
  <si>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</si>
  <si>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</si>
  <si>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</si>
  <si>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</si>
  <si>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</si>
  <si>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</si>
  <si>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</si>
  <si>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</si>
  <si>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</si>
  <si>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</si>
  <si>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</si>
  <si>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</si>
  <si>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</si>
  <si>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</si>
  <si>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</si>
  <si>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</si>
  <si>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</si>
  <si>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</si>
  <si>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</si>
  <si>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</si>
  <si>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</si>
  <si>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</si>
  <si>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</si>
  <si>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</si>
  <si>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</si>
  <si>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</si>
  <si>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</si>
  <si>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</si>
  <si>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</si>
  <si>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</si>
  <si>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</si>
  <si>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</si>
  <si>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</si>
  <si>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</si>
  <si>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</si>
  <si>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</si>
  <si>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</si>
  <si>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</si>
  <si>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</si>
  <si>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</si>
  <si>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</si>
  <si>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</si>
  <si>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</si>
  <si>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</si>
  <si>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</si>
  <si>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</si>
  <si>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</si>
  <si>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</si>
  <si>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</si>
  <si>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</si>
  <si>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</si>
  <si>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</si>
  <si>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</si>
  <si>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</si>
  <si>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</si>
  <si>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</si>
  <si>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</si>
  <si>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</si>
  <si>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</si>
  <si>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</si>
  <si>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</si>
  <si>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</si>
  <si>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</si>
  <si>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</si>
  <si>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</si>
  <si>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</si>
  <si>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</si>
  <si>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</si>
  <si>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</si>
  <si>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</si>
  <si>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</si>
  <si>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</si>
  <si>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</si>
  <si>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</si>
  <si>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</si>
  <si>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</si>
  <si>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</si>
  <si>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</si>
  <si>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</si>
  <si>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</si>
  <si>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</si>
  <si>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</si>
  <si>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</si>
  <si>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</si>
  <si>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</si>
  <si>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</si>
  <si>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</si>
  <si>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</si>
  <si>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</si>
  <si>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</si>
  <si>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</si>
  <si>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</si>
  <si>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</si>
  <si>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</si>
  <si>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</si>
  <si>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</si>
  <si>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</si>
  <si>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</si>
  <si>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</si>
  <si>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</si>
  <si>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</si>
  <si>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</si>
  <si>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</si>
  <si>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</si>
  <si>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</si>
  <si>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</si>
  <si>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</si>
  <si>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</si>
  <si>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</si>
  <si>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</si>
  <si>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</si>
  <si>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</si>
  <si>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</si>
  <si>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</si>
  <si>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</si>
  <si>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</si>
  <si>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</si>
  <si>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</si>
  <si>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</si>
  <si>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</si>
  <si>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</si>
  <si>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</si>
  <si>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</si>
  <si>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</si>
  <si>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</si>
  <si>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</si>
  <si>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</si>
  <si>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</si>
  <si>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</si>
  <si>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</si>
  <si>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</si>
  <si>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</si>
  <si>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</si>
  <si>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</si>
  <si>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</si>
  <si>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</si>
  <si>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</si>
  <si>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</si>
  <si>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</si>
  <si>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</si>
  <si>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</si>
  <si>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</si>
  <si>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</si>
  <si>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</si>
  <si>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</si>
  <si>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</si>
  <si>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</si>
  <si>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</si>
  <si>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</si>
  <si>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</si>
  <si>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</si>
  <si>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</si>
  <si>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</si>
  <si>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</si>
  <si>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</si>
  <si>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</si>
  <si>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</si>
  <si>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</si>
  <si>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</si>
  <si>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</si>
  <si>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</si>
  <si>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</si>
  <si>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</si>
  <si>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</si>
  <si>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</si>
  <si>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</si>
  <si>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</si>
  <si>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</si>
  <si>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</si>
  <si>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</si>
  <si>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</si>
  <si>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</si>
  <si>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</si>
  <si>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</si>
  <si>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</si>
  <si>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</si>
  <si>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</si>
  <si>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</si>
  <si>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</si>
  <si>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</si>
  <si>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</si>
  <si>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</si>
  <si>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</si>
  <si>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</si>
  <si>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</si>
  <si>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</si>
  <si>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</si>
  <si>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</si>
  <si>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</si>
  <si>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</si>
  <si>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</si>
  <si>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</si>
  <si>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</si>
  <si>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</si>
  <si>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</si>
  <si>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</si>
  <si>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</si>
  <si>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</si>
  <si>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</si>
  <si>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</si>
  <si>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</si>
  <si>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</si>
  <si>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</si>
  <si>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</si>
  <si>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</si>
  <si>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</si>
  <si>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</si>
  <si>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</si>
  <si>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</si>
  <si>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</si>
  <si>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</si>
  <si>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</si>
  <si>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</si>
  <si>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</si>
  <si>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</si>
  <si>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</si>
  <si>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</si>
  <si>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</si>
  <si>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</si>
  <si>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</si>
  <si>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</si>
  <si>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</si>
  <si>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</si>
  <si>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</si>
  <si>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</si>
  <si>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</si>
  <si>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</si>
  <si>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</si>
  <si>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</si>
  <si>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</si>
  <si>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</si>
  <si>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</si>
  <si>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</si>
  <si>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</si>
  <si>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</si>
  <si>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</si>
  <si>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</si>
  <si>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</si>
  <si>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</si>
  <si>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</si>
  <si>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</si>
  <si>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</si>
  <si>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</si>
  <si>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</si>
  <si>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</si>
  <si>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</si>
  <si>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</si>
  <si>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</si>
  <si>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</si>
  <si>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</si>
  <si>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</si>
  <si>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</si>
  <si>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</si>
  <si>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</si>
  <si>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</si>
  <si>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</si>
  <si>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</si>
  <si>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</si>
  <si>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</si>
  <si>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</si>
  <si>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</si>
  <si>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</si>
  <si>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</si>
  <si>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</si>
  <si>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</si>
  <si>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</si>
  <si>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</si>
  <si>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</si>
  <si>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</si>
  <si>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</si>
  <si>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</si>
  <si>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</si>
  <si>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</si>
  <si>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</si>
  <si>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</si>
  <si>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</si>
  <si>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</si>
  <si>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</si>
  <si>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</si>
  <si>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</si>
  <si>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</si>
  <si>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</si>
  <si>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</si>
  <si>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</si>
  <si>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</si>
  <si>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</si>
  <si>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</si>
  <si>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</si>
  <si>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</si>
  <si>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</si>
  <si>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</si>
  <si>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</si>
  <si>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</si>
  <si>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</si>
  <si>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</si>
  <si>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</si>
  <si>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</si>
  <si>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</si>
  <si>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</si>
  <si>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</si>
  <si>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</si>
  <si>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</si>
  <si>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</si>
  <si>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</si>
  <si>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</si>
  <si>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</si>
  <si>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</si>
  <si>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</si>
  <si>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</si>
  <si>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</si>
  <si>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</si>
  <si>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</si>
  <si>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</si>
  <si>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</si>
  <si>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</si>
  <si>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</si>
  <si>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</si>
  <si>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</si>
  <si>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</si>
  <si>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</si>
  <si>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</si>
  <si>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</si>
  <si>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</si>
  <si>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</si>
  <si>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</si>
  <si>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</si>
  <si>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</si>
  <si>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</si>
  <si>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</si>
  <si>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</si>
  <si>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</si>
  <si>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</si>
  <si>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</si>
  <si>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</si>
  <si>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</si>
  <si>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</si>
  <si>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</si>
  <si>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</si>
  <si>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</si>
  <si>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</si>
  <si>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</si>
  <si>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</si>
  <si>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</si>
  <si>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</si>
  <si>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</si>
  <si>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</si>
  <si>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</si>
  <si>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</si>
  <si>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</si>
  <si>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</si>
  <si>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</si>
  <si>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</si>
  <si>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</si>
  <si>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</si>
  <si>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</si>
  <si>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</si>
  <si>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</si>
  <si>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</si>
  <si>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</si>
  <si>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</si>
  <si>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</si>
  <si>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</si>
  <si>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</si>
  <si>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</si>
  <si>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</si>
  <si>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</si>
  <si>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</si>
  <si>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</si>
  <si>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</si>
  <si>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</si>
  <si>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</si>
  <si>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</si>
  <si>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</si>
  <si>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</si>
  <si>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</si>
  <si>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</si>
  <si>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</si>
  <si>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</si>
  <si>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</si>
  <si>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</si>
  <si>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</si>
  <si>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</si>
  <si>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</si>
  <si>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</si>
  <si>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</si>
  <si>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</si>
  <si>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</si>
  <si>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</si>
  <si>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</si>
  <si>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</si>
  <si>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</si>
  <si>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</si>
  <si>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</si>
  <si>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</si>
  <si>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</si>
  <si>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</si>
  <si>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</si>
  <si>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</si>
  <si>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</si>
  <si>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</si>
  <si>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</si>
  <si>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</si>
  <si>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</si>
  <si>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</si>
  <si>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</si>
  <si>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</si>
  <si>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</si>
  <si>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</si>
  <si>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</si>
  <si>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</si>
  <si>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</si>
  <si>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</si>
  <si>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</si>
  <si>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</si>
  <si>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</si>
  <si>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</si>
  <si>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</si>
  <si>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</si>
  <si>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</si>
  <si>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</si>
  <si>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</si>
  <si>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</si>
  <si>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</si>
  <si>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</si>
  <si>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</si>
  <si>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</si>
  <si>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</si>
  <si>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</si>
  <si>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</si>
  <si>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</si>
  <si>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</si>
  <si>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</si>
  <si>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</si>
  <si>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</si>
  <si>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</si>
  <si>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</si>
  <si>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</si>
  <si>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</si>
  <si>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</si>
  <si>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</si>
  <si>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</si>
  <si>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</si>
  <si>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</si>
  <si>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</si>
  <si>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</si>
  <si>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</si>
  <si>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</si>
  <si>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</si>
  <si>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</si>
  <si>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</si>
  <si>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</si>
  <si>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</si>
  <si>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</si>
  <si>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</si>
  <si>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</si>
  <si>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</si>
  <si>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</si>
  <si>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</si>
  <si>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</si>
  <si>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</si>
  <si>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</si>
  <si>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</si>
  <si>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</si>
  <si>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</si>
  <si>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</si>
  <si>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</si>
  <si>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</si>
  <si>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</si>
  <si>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</si>
  <si>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</si>
  <si>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</si>
  <si>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</si>
  <si>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</si>
  <si>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</si>
  <si>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</si>
  <si>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</si>
  <si>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</si>
  <si>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</si>
  <si>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</si>
  <si>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</si>
  <si>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</si>
  <si>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</si>
  <si>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</si>
  <si>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</si>
  <si>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</si>
  <si>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</si>
  <si>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</si>
  <si>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</si>
  <si>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</si>
  <si>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</si>
  <si>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</si>
  <si>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</si>
  <si>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</si>
  <si>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</si>
  <si>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</si>
  <si>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</si>
  <si>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</si>
  <si>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</si>
  <si>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</si>
  <si>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</si>
  <si>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</si>
  <si>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</si>
  <si>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</si>
  <si>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</si>
  <si>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</si>
  <si>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</si>
  <si>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</si>
  <si>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</si>
  <si>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</si>
  <si>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</si>
  <si>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</si>
  <si>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</si>
  <si>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</si>
  <si>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</si>
  <si>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</si>
  <si>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</si>
  <si>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</si>
  <si>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</si>
  <si>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</si>
  <si>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</si>
  <si>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</si>
  <si>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</si>
  <si>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</si>
  <si>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</si>
  <si>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</si>
  <si>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</si>
  <si>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</si>
  <si>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</si>
  <si>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</si>
  <si>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</si>
  <si>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</si>
  <si>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</si>
  <si>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</si>
  <si>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</si>
  <si>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</si>
  <si>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</si>
  <si>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</si>
  <si>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</si>
  <si>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</si>
  <si>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</si>
  <si>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</si>
  <si>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</si>
  <si>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</si>
  <si>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</si>
  <si>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</si>
  <si>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</si>
  <si>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</si>
  <si>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</si>
  <si>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</si>
  <si>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</si>
  <si>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</si>
  <si>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</si>
  <si>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</si>
  <si>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</si>
  <si>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</si>
  <si>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</si>
  <si>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</si>
  <si>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</si>
  <si>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</si>
  <si>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</si>
  <si>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</si>
  <si>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</si>
  <si>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</si>
  <si>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</si>
  <si>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</si>
  <si>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</si>
  <si>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</si>
  <si>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</si>
  <si>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</si>
  <si>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</si>
  <si>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</si>
  <si>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</si>
  <si>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</si>
  <si>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</si>
  <si>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</si>
  <si>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</si>
  <si>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</si>
  <si>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</si>
  <si>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</si>
  <si>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</si>
  <si>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</si>
  <si>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</si>
  <si>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</si>
  <si>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</si>
  <si>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</si>
  <si>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</si>
  <si>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</si>
  <si>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</si>
  <si>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</si>
  <si>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</si>
  <si>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</si>
  <si>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</si>
  <si>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</si>
  <si>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</si>
  <si>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</si>
  <si>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</si>
  <si>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</si>
  <si>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</si>
  <si>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</si>
  <si>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</si>
  <si>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</si>
  <si>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</si>
  <si>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</si>
  <si>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</si>
  <si>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</si>
  <si>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</si>
  <si>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</si>
  <si>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</si>
  <si>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</si>
  <si>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</si>
  <si>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</si>
  <si>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</si>
  <si>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</si>
  <si>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</si>
  <si>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</si>
  <si>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</si>
  <si>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</si>
  <si>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</si>
  <si>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</si>
  <si>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</si>
  <si>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</si>
  <si>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</si>
  <si>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</si>
  <si>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</si>
  <si>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</si>
  <si>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</si>
  <si>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</si>
  <si>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</si>
  <si>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</si>
  <si>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</si>
  <si>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</si>
  <si>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</si>
  <si>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</si>
  <si>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</si>
  <si>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</si>
  <si>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</si>
  <si>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</si>
  <si>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</si>
  <si>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</si>
  <si>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</si>
  <si>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</si>
  <si>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</si>
  <si>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</si>
  <si>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</si>
  <si>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</si>
  <si>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</si>
  <si>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</si>
  <si>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</si>
  <si>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</si>
  <si>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</si>
  <si>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</si>
  <si>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</si>
  <si>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</si>
  <si>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</si>
  <si>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</si>
  <si>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</si>
  <si>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</si>
  <si>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</si>
  <si>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</si>
  <si>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</si>
  <si>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</si>
  <si>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</si>
  <si>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</si>
  <si>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</si>
  <si>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</si>
  <si>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</si>
  <si>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</si>
  <si>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</si>
  <si>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</si>
  <si>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</si>
  <si>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</si>
  <si>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</si>
  <si>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</si>
  <si>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</si>
  <si>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</si>
  <si>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</si>
  <si>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</si>
  <si>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</si>
  <si>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</si>
  <si>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</si>
  <si>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</si>
  <si>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</si>
  <si>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</si>
  <si>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</si>
  <si>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</si>
  <si>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</si>
  <si>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</si>
  <si>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</si>
  <si>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</si>
  <si>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</si>
  <si>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</si>
  <si>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</si>
  <si>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</si>
  <si>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</si>
  <si>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</si>
  <si>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</si>
  <si>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</si>
  <si>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</si>
  <si>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</si>
  <si>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</si>
  <si>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</si>
  <si>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</si>
  <si>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</si>
  <si>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</si>
  <si>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</si>
  <si>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</si>
  <si>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</si>
  <si>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</si>
  <si>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</si>
  <si>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</si>
  <si>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</si>
  <si>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</si>
  <si>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</si>
  <si>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</si>
  <si>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</si>
  <si>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</si>
  <si>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</si>
  <si>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</si>
  <si>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</si>
  <si>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</si>
  <si>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</si>
  <si>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</si>
  <si>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</si>
  <si>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</si>
  <si>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</si>
  <si>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</si>
  <si>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</si>
  <si>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</si>
  <si>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</si>
  <si>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</si>
  <si>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</si>
  <si>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</si>
  <si>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</si>
  <si>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</si>
  <si>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</si>
  <si>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</si>
  <si>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</si>
  <si>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</si>
  <si>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</si>
  <si>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</si>
  <si>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</si>
  <si>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</si>
  <si>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</si>
  <si>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</si>
  <si>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</si>
  <si>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</si>
  <si>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</si>
  <si>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</si>
  <si>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</si>
  <si>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</si>
  <si>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</si>
  <si>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</si>
  <si>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</si>
  <si>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</si>
  <si>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</si>
  <si>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</si>
  <si>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</si>
  <si>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</si>
  <si>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</si>
  <si>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</si>
  <si>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</si>
  <si>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</si>
  <si>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</si>
  <si>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</si>
  <si>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</si>
  <si>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</si>
  <si>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</si>
  <si>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</si>
  <si>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</si>
  <si>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</si>
  <si>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</si>
  <si>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</si>
  <si>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</si>
  <si>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</si>
  <si>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</si>
  <si>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</si>
  <si>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</si>
  <si>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</si>
  <si>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</si>
  <si>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</si>
  <si>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</si>
  <si>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</si>
  <si>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</si>
  <si>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</si>
  <si>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</si>
  <si>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</si>
  <si>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</si>
  <si>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</si>
  <si>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</si>
  <si>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</si>
  <si>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</si>
  <si>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</si>
  <si>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</si>
  <si>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</si>
  <si>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</si>
  <si>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</si>
  <si>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</si>
  <si>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</si>
  <si>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</si>
  <si>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</si>
  <si>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</si>
  <si>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</si>
  <si>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</si>
  <si>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</si>
  <si>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</si>
  <si>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</si>
  <si>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</si>
  <si>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</si>
  <si>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</si>
  <si>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</si>
  <si>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</si>
  <si>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</si>
  <si>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</si>
  <si>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</si>
  <si>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</si>
  <si>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</si>
  <si>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</si>
  <si>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</si>
  <si>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</si>
  <si>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</si>
  <si>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</si>
  <si>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</si>
  <si>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</si>
  <si>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</si>
  <si>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</si>
  <si>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</si>
  <si>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</si>
  <si>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</si>
  <si>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</si>
  <si>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</si>
  <si>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</si>
  <si>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</si>
  <si>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</si>
  <si>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</si>
  <si>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</si>
  <si>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</si>
  <si>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</si>
  <si>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</si>
  <si>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</si>
  <si>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</si>
  <si>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</si>
  <si>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</si>
  <si>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</si>
  <si>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</si>
  <si>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</si>
  <si>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</si>
  <si>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</si>
  <si>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</si>
  <si>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</si>
  <si>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</si>
  <si>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</si>
  <si>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</si>
  <si>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</si>
  <si>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</si>
  <si>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</si>
  <si>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</si>
  <si>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</si>
  <si>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</si>
  <si>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</si>
  <si>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</si>
  <si>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</si>
  <si>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</si>
  <si>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</si>
  <si>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</si>
  <si>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</si>
  <si>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</si>
  <si>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</si>
  <si>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</si>
  <si>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</si>
  <si>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</si>
  <si>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</si>
  <si>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</si>
  <si>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</si>
  <si>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</si>
  <si>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</si>
  <si>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</si>
  <si>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</si>
  <si>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</si>
  <si>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</si>
  <si>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</si>
  <si>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</si>
  <si>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</si>
  <si>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</si>
  <si>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</si>
  <si>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</si>
  <si>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</si>
  <si>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</si>
  <si>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</si>
  <si>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</si>
  <si>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</si>
  <si>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</si>
  <si>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</si>
  <si>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</si>
  <si>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</si>
  <si>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</si>
  <si>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</si>
  <si>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</si>
  <si>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</si>
  <si>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</si>
  <si>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</si>
  <si>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</si>
  <si>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</si>
  <si>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</si>
  <si>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</si>
  <si>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</si>
  <si>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</si>
  <si>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</si>
  <si>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</si>
  <si>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</si>
  <si>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</si>
  <si>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</si>
  <si>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</si>
  <si>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</si>
  <si>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</si>
  <si>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</si>
  <si>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</si>
  <si>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</si>
  <si>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</si>
  <si>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</si>
  <si>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</si>
  <si>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</si>
  <si>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</si>
  <si>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</si>
  <si>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</si>
  <si>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</si>
  <si>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</si>
  <si>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</si>
  <si>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</si>
  <si>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</si>
  <si>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</si>
  <si>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</si>
  <si>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</si>
  <si>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</si>
  <si>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</si>
  <si>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</si>
  <si>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</si>
  <si>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</si>
  <si>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</si>
  <si>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</si>
  <si>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</si>
  <si>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</si>
  <si>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</si>
  <si>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</si>
  <si>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</si>
  <si>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</si>
  <si>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</si>
  <si>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</si>
  <si>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</si>
  <si>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</si>
  <si>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</si>
  <si>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</si>
  <si>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</si>
  <si>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</si>
  <si>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</si>
  <si>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</si>
  <si>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</si>
  <si>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</si>
  <si>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</si>
  <si>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</si>
  <si>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</si>
  <si>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</si>
  <si>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</si>
  <si>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</si>
  <si>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</si>
  <si>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</si>
  <si>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</si>
  <si>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</si>
  <si>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</si>
  <si>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</si>
  <si>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</si>
  <si>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</si>
  <si>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</si>
  <si>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</si>
  <si>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</si>
  <si>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</si>
  <si>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</si>
  <si>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</si>
  <si>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</si>
  <si>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</si>
  <si>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</si>
  <si>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</si>
  <si>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</si>
  <si>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</si>
  <si>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</si>
  <si>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</si>
  <si>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</si>
  <si>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</si>
  <si>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</si>
  <si>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</si>
  <si>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</si>
  <si>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</si>
  <si>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</si>
  <si>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</si>
  <si>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</si>
  <si>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</si>
  <si>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</si>
  <si>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</si>
  <si>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</si>
  <si>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</si>
  <si>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</si>
  <si>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</si>
  <si>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</si>
  <si>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</si>
  <si>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</si>
  <si>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</si>
  <si>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</si>
  <si>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</si>
  <si>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</si>
  <si>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</si>
  <si>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</si>
  <si>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</si>
  <si>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</si>
  <si>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</si>
  <si>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</si>
  <si>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</si>
  <si>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</si>
  <si>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</si>
  <si>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</si>
  <si>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</si>
  <si>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</si>
  <si>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</si>
  <si>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</si>
  <si>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</si>
  <si>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</si>
  <si>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</si>
  <si>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</si>
  <si>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</si>
  <si>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</si>
  <si>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</si>
  <si>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</si>
  <si>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</si>
  <si>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</si>
  <si>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</si>
  <si>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</si>
  <si>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</si>
  <si>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</si>
  <si>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</si>
  <si>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</si>
  <si>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</si>
  <si>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</si>
  <si>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</si>
  <si>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</si>
  <si>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</si>
  <si>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</si>
  <si>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</si>
  <si>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</si>
  <si>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</si>
  <si>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</si>
  <si>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</si>
  <si>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</si>
  <si>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</si>
  <si>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</si>
  <si>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</si>
  <si>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</si>
  <si>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</si>
  <si>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</si>
  <si>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</si>
  <si>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</si>
  <si>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</si>
  <si>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</si>
  <si>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</si>
  <si>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</si>
  <si>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</si>
  <si>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</si>
  <si>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</si>
  <si>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</si>
  <si>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</si>
  <si>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</si>
  <si>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</si>
  <si>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</si>
  <si>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</si>
  <si>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</si>
  <si>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</si>
  <si>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</si>
  <si>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</si>
  <si>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</si>
  <si>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</si>
  <si>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</si>
  <si>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</si>
  <si>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</si>
  <si>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</si>
  <si>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</si>
  <si>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</si>
  <si>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</si>
  <si>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</si>
  <si>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</si>
  <si>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</si>
  <si>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</si>
  <si>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</si>
  <si>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</si>
  <si>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</si>
  <si>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</si>
  <si>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</si>
  <si>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</si>
  <si>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</si>
  <si>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</si>
  <si>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</si>
  <si>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</si>
  <si>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</si>
  <si>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</si>
  <si>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</si>
  <si>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</si>
  <si>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</si>
  <si>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</si>
  <si>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</si>
  <si>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</si>
  <si>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</si>
  <si>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</si>
  <si>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</si>
  <si>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</si>
  <si>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</si>
  <si>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</si>
  <si>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</si>
  <si>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</si>
  <si>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</si>
  <si>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</si>
  <si>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</si>
  <si>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</si>
  <si>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</si>
  <si>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</si>
  <si>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</si>
  <si>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</si>
  <si>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</si>
  <si>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</si>
  <si>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</si>
  <si>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</si>
  <si>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</si>
  <si>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</si>
  <si>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</si>
  <si>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</si>
  <si>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</si>
  <si>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</si>
  <si>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</si>
  <si>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</si>
  <si>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</si>
  <si>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</si>
  <si>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</si>
  <si>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</si>
  <si>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</si>
  <si>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</si>
  <si>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</si>
  <si>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</si>
  <si>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</si>
  <si>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</si>
  <si>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</si>
  <si>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</si>
  <si>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</si>
  <si>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</si>
  <si>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</si>
  <si>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</si>
  <si>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</si>
  <si>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</si>
  <si>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</si>
  <si>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</si>
  <si>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</si>
  <si>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</si>
  <si>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</si>
  <si>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</si>
  <si>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</si>
  <si>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</si>
  <si>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</si>
  <si>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</si>
  <si>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</si>
  <si>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</si>
  <si>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</si>
  <si>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</si>
  <si>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</si>
  <si>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</si>
  <si>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</si>
  <si>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</si>
  <si>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</si>
  <si>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</si>
  <si>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</si>
  <si>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</si>
  <si>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</si>
  <si>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</si>
  <si>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</si>
  <si>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</si>
  <si>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</si>
  <si>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</si>
  <si>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</si>
  <si>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</si>
  <si>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</si>
  <si>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</si>
  <si>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</si>
  <si>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</si>
  <si>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</si>
  <si>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</si>
  <si>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</si>
  <si>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</si>
  <si>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</si>
  <si>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</si>
  <si>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</si>
  <si>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</si>
  <si>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</si>
  <si>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</si>
  <si>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</si>
  <si>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</si>
  <si>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</si>
  <si>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</si>
  <si>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</si>
  <si>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</si>
  <si>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</si>
  <si>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</si>
  <si>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</si>
  <si>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</si>
  <si>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</si>
  <si>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</si>
  <si>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</si>
  <si>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</si>
  <si>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</si>
  <si>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</si>
  <si>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</si>
  <si>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</si>
  <si>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</si>
  <si>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</si>
  <si>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</si>
  <si>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</si>
  <si>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</si>
  <si>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</si>
  <si>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</si>
  <si>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</si>
  <si>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</si>
  <si>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</si>
  <si>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</si>
  <si>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</si>
  <si>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</si>
  <si>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</si>
  <si>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</si>
  <si>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</si>
  <si>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</si>
  <si>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</si>
  <si>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</si>
  <si>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</si>
  <si>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</si>
  <si>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</si>
  <si>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</si>
  <si>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</si>
  <si>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</si>
  <si>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</si>
  <si>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</si>
  <si>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</si>
  <si>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</si>
  <si>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</si>
  <si>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</si>
  <si>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</si>
  <si>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</si>
  <si>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</si>
  <si>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</si>
  <si>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</si>
  <si>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</si>
  <si>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</si>
  <si>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</si>
  <si>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</si>
  <si>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</si>
  <si>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</si>
  <si>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</si>
  <si>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</si>
  <si>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</si>
  <si>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</si>
  <si>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</si>
  <si>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</si>
  <si>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</si>
  <si>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</si>
  <si>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</si>
  <si>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</si>
  <si>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</si>
  <si>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</si>
  <si>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</si>
  <si>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</si>
  <si>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</si>
  <si>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</si>
  <si>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</si>
  <si>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</si>
  <si>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</si>
  <si>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</si>
  <si>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</si>
  <si>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</si>
  <si>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</si>
  <si>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</si>
  <si>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</si>
  <si>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</si>
  <si>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</si>
  <si>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</si>
  <si>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</si>
  <si>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</si>
  <si>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</si>
  <si>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</si>
  <si>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</si>
  <si>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</si>
  <si>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</si>
  <si>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</si>
  <si>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</si>
  <si>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</si>
  <si>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</si>
  <si>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</si>
  <si>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</si>
  <si>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</si>
  <si>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</si>
  <si>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</si>
  <si>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</si>
  <si>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</si>
  <si>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</si>
  <si>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</si>
  <si>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</si>
  <si>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</si>
  <si>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</si>
  <si>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</si>
  <si>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</si>
  <si>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</si>
  <si>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</si>
  <si>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</si>
  <si>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</si>
  <si>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</si>
  <si>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</si>
  <si>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</si>
  <si>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</si>
  <si>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</si>
  <si>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</si>
  <si>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</si>
  <si>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</si>
  <si>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</si>
  <si>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</si>
  <si>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</si>
  <si>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</si>
  <si>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</si>
  <si>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</si>
  <si>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</si>
  <si>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</si>
  <si>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</si>
  <si>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</si>
  <si>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</si>
  <si>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</si>
  <si>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</si>
  <si>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</si>
  <si>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</si>
  <si>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</si>
  <si>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</si>
  <si>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</si>
  <si>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</si>
  <si>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</si>
  <si>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</si>
  <si>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</si>
  <si>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</si>
  <si>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</si>
  <si>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</si>
  <si>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</si>
  <si>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</si>
  <si>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</si>
  <si>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</si>
  <si>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</si>
  <si>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</si>
  <si>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</si>
  <si>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</si>
  <si>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</si>
  <si>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</si>
  <si>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</si>
  <si>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</si>
  <si>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</si>
  <si>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</si>
  <si>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</si>
  <si>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</si>
  <si>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</si>
  <si>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</si>
  <si>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</si>
  <si>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</si>
  <si>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</si>
  <si>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</si>
  <si>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</si>
  <si>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</si>
  <si>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</si>
  <si>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</si>
  <si>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</si>
  <si>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</si>
  <si>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</si>
  <si>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</si>
  <si>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</si>
  <si>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</si>
  <si>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</si>
  <si>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</si>
  <si>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</si>
  <si>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</si>
  <si>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</si>
  <si>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</si>
  <si>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</si>
  <si>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</si>
  <si>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</si>
  <si>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</si>
  <si>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</si>
  <si>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</si>
  <si>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</si>
  <si>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</si>
  <si>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</si>
  <si>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</si>
  <si>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</si>
  <si>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</si>
  <si>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</si>
  <si>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</si>
  <si>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</si>
  <si>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</si>
  <si>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</si>
  <si>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</si>
  <si>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</si>
  <si>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</si>
  <si>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</si>
  <si>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</si>
  <si>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</si>
  <si>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</si>
  <si>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</si>
  <si>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</si>
  <si>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</si>
  <si>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</si>
  <si>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</si>
  <si>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</si>
  <si>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</si>
  <si>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</si>
  <si>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</si>
  <si>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Siagne</t>
  </si>
  <si>
    <t xml:space="preserve">Mandelieu La Napoule</t>
  </si>
  <si>
    <t xml:space="preserve">06209900</t>
  </si>
  <si>
    <t xml:space="preserve">7178b-RCS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</si>
  <si>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</si>
  <si>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</si>
  <si>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</si>
  <si>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</si>
  <si>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</si>
  <si>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</si>
  <si>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</si>
  <si>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</si>
  <si>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</si>
  <si>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</si>
  <si>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</si>
  <si>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</si>
  <si>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</si>
  <si>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</si>
  <si>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</si>
  <si>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</si>
  <si>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</si>
  <si>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</si>
  <si>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</si>
  <si>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</si>
  <si>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</si>
  <si>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</si>
  <si>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</si>
  <si>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</si>
  <si>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</si>
  <si>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</si>
  <si>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</si>
  <si>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</si>
  <si>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</si>
  <si>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</si>
  <si>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</si>
  <si>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</si>
  <si>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</si>
  <si>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</si>
  <si>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</si>
  <si>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</si>
  <si>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</si>
  <si>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</si>
  <si>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</si>
  <si>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</si>
  <si>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</si>
  <si>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</si>
  <si>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</si>
  <si>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</si>
  <si>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</si>
  <si>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</si>
  <si>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</si>
  <si>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</si>
  <si>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(19,43 %)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</si>
  <si>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</si>
  <si>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</si>
  <si>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</si>
  <si>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</si>
  <si>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</si>
  <si>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</si>
  <si>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</si>
  <si>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</si>
  <si>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</si>
  <si>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</si>
  <si>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</si>
  <si>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</si>
  <si>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</si>
  <si>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</si>
  <si>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</si>
  <si>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</si>
  <si>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</si>
  <si>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</si>
  <si>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</si>
  <si>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Paspalum distichum</t>
  </si>
  <si>
    <t xml:space="preserve">Bidens frondosa</t>
  </si>
  <si>
    <t xml:space="preserve">Polysiphonia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</si>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</sst>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64" fontId="89" fillId="0" borderId="0" xfId="0" applyFont="true" applyBorder="true" applyAlignment="true" applyProtection="true">
      <alignment horizontal="center" vertical="center"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7.63636363636364</v>
      </c>
      <c r="M5" s="323"/>
      <c r="N5" s="324" t="s">
        <v>160</v>
      </c>
      <c r="O5" s="325" t="n">
        <v>7.5</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6.39285714285714</v>
      </c>
      <c r="O8" s="354" t="n">
        <f aca="false">IF(ISERROR(AVERAGE(J23:J82)),"      -",AVERAGE(J23:J82))</f>
        <v>1.17857142857143</v>
      </c>
      <c r="P8" s="355"/>
      <c r="Q8" s="280"/>
      <c r="R8" s="280"/>
      <c r="S8" s="280"/>
      <c r="T8" s="280"/>
      <c r="U8" s="280"/>
      <c r="V8" s="280"/>
      <c r="W8" s="292"/>
      <c r="X8" s="293"/>
    </row>
    <row r="9" customFormat="false" ht="13.5" hidden="false" customHeight="false" outlineLevel="0" collapsed="false">
      <c r="A9" s="313" t="s">
        <v>2634</v>
      </c>
      <c r="B9" s="356" t="n">
        <v>19.45</v>
      </c>
      <c r="C9" s="357"/>
      <c r="D9" s="358"/>
      <c r="E9" s="358"/>
      <c r="F9" s="359" t="n">
        <f aca="false">($B9*$B$7+$C9*$C$7)/100</f>
        <v>19.45</v>
      </c>
      <c r="G9" s="360"/>
      <c r="H9" s="361"/>
      <c r="I9" s="362"/>
      <c r="J9" s="363"/>
      <c r="K9" s="343"/>
      <c r="L9" s="364"/>
      <c r="M9" s="353" t="s">
        <v>2635</v>
      </c>
      <c r="N9" s="354" t="n">
        <f aca="false">IF(ISERROR(STDEVP(I23:I82)),"     -",STDEVP(I23:I82))</f>
        <v>4.34527071090173</v>
      </c>
      <c r="O9" s="354" t="n">
        <f aca="false">IF(ISERROR(STDEVP(J23:J82)),"      -",STDEVP(J23:J82))</f>
        <v>0.888561093187481</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9</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2</v>
      </c>
      <c r="L13" s="386"/>
      <c r="M13" s="397" t="s">
        <v>2647</v>
      </c>
      <c r="N13" s="398" t="n">
        <f aca="false">COUNTIF(F23:F82,"&gt;0")</f>
        <v>33</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28</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17</v>
      </c>
      <c r="L15" s="386"/>
      <c r="M15" s="407" t="s">
        <v>2653</v>
      </c>
      <c r="N15" s="408" t="n">
        <f aca="false">COUNTIF(J23:J82,"=1")</f>
        <v>11</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8</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19.43</v>
      </c>
      <c r="C20" s="436" t="n">
        <f aca="false">SUM(C23:C82)</f>
        <v>0</v>
      </c>
      <c r="D20" s="437"/>
      <c r="E20" s="438" t="s">
        <v>2659</v>
      </c>
      <c r="F20" s="439" t="n">
        <f aca="false">($B20*$B$7+$C20*$C$7)/100</f>
        <v>19.43</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19.43</v>
      </c>
      <c r="C21" s="449" t="n">
        <f aca="false">C20*C7/100</f>
        <v>0</v>
      </c>
      <c r="D21" s="381" t="str">
        <f aca="false">IF(F21=0,"",IF((ABS(F21-F19))&gt;(0.2*F21),CONCATENATE(" rec. par taxa (",F21," %) supérieur à 20 % !"),""))</f>
        <v> rec. par taxa (19,43 %) supérieur à 20 % !</v>
      </c>
      <c r="E21" s="450" t="str">
        <f aca="false">IF(F21=0,"",IF((ABS(F21-F19))&gt;(0.2*F21),CONCATENATE("ATTENTION : écart entre rec. par grp (",F19," %) ","et",""),""))</f>
        <v>ATTENTION : écart entre rec. par grp (0 %) et</v>
      </c>
      <c r="F21" s="451" t="n">
        <f aca="false">B21+C21</f>
        <v>19.43</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63</v>
      </c>
      <c r="B23" s="475" t="n">
        <v>0.005</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0.005</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2.75" hidden="false" customHeight="false" outlineLevel="0" collapsed="false">
      <c r="A24" s="493" t="s">
        <v>122</v>
      </c>
      <c r="B24" s="494" t="n">
        <v>6.3</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6.3</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6.3</v>
      </c>
      <c r="R24" s="487" t="n">
        <f aca="false">IF(OR(ISTEXT(H24),Q24=0),"",IF(Q24&lt;0.1,1,IF(Q24&lt;1,2,IF(Q24&lt;10,3,IF(Q24&lt;50,4,IF(Q24&gt;=50,5,""))))))</f>
        <v>3</v>
      </c>
      <c r="S24" s="487" t="n">
        <f aca="false">IF(ISERROR(R24*I24),0,R24*I24)</f>
        <v>18</v>
      </c>
      <c r="T24" s="487" t="n">
        <f aca="false">IF(ISERROR(R24*I24*J24),0,R24*I24*J24)</f>
        <v>18</v>
      </c>
      <c r="U24" s="499" t="n">
        <f aca="false">IF(ISERROR(R24*J24),0,R24*J24)</f>
        <v>3</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124</v>
      </c>
      <c r="B25" s="494" t="n">
        <v>0.05</v>
      </c>
      <c r="C25" s="495"/>
      <c r="D25" s="477" t="str">
        <f aca="false">IF(ISERROR(VLOOKUP($A25,'liste reference'!$A$7:$D$904,2,0)),IF(ISERROR(VLOOKUP($A25,'liste reference'!$B$7:$D$904,1,0)),"",VLOOKUP($A25,'liste reference'!$B$7:$D$904,1,0)),VLOOKUP($A25,'liste reference'!$A$7:$D$904,2,0))</f>
        <v>Compsopogon sp.</v>
      </c>
      <c r="E25" s="496" t="e">
        <f aca="false">IF(D25="",0,VLOOKUP(D25,D$22:D24,1,0))</f>
        <v>#N/A</v>
      </c>
      <c r="F25" s="497" t="n">
        <f aca="false">($B25*$B$7+$C25*$C$7)/100</f>
        <v>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Compsopogon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6071</v>
      </c>
      <c r="Q25" s="486" t="n">
        <f aca="false">IF(ISTEXT(H25),"",(B25*$B$7/100)+(C25*$C$7/100))</f>
        <v>0.05</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COMSPX</v>
      </c>
      <c r="Z25" s="280" t="n">
        <f aca="false">IF(ISERROR(MATCH(A25,'liste reference'!$A$8:$A$904,0)),IF(ISERROR(MATCH(A25,'liste reference'!$B$8:$B$904,0)),"",(MATCH(A25,'liste reference'!$B$8:$B$904,0))),(MATCH(A25,'liste reference'!$A$8:$A$904,0)))</f>
        <v>24</v>
      </c>
      <c r="AA25" s="491"/>
      <c r="AB25" s="492"/>
      <c r="AC25" s="492"/>
      <c r="BB25" s="280" t="n">
        <f aca="false">IF(A25="","",1)</f>
        <v>1</v>
      </c>
    </row>
    <row r="26" customFormat="false" ht="12.75" hidden="false" customHeight="false" outlineLevel="0" collapsed="false">
      <c r="A26" s="493" t="s">
        <v>134</v>
      </c>
      <c r="B26" s="494" t="n">
        <v>5</v>
      </c>
      <c r="C26" s="495"/>
      <c r="D26" s="477" t="str">
        <f aca="false">IF(ISERROR(VLOOKUP($A26,'liste reference'!$A$7:$D$904,2,0)),IF(ISERROR(VLOOKUP($A26,'liste reference'!$B$7:$D$904,1,0)),"",VLOOKUP($A26,'liste reference'!$B$7:$D$904,1,0)),VLOOKUP($A26,'liste reference'!$A$7:$D$904,2,0))</f>
        <v>Enteromorpha sp.</v>
      </c>
      <c r="E26" s="496" t="e">
        <f aca="false">IF(D26="",0,VLOOKUP(D26,D$22:D25,1,0))</f>
        <v>#N/A</v>
      </c>
      <c r="F26" s="497" t="n">
        <f aca="false">($B26*$B$7+$C26*$C$7)/100</f>
        <v>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Enteromorpha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1144</v>
      </c>
      <c r="Q26" s="486" t="n">
        <f aca="false">IF(ISTEXT(H26),"",(B26*$B$7/100)+(C26*$C$7/100))</f>
        <v>5</v>
      </c>
      <c r="R26" s="487" t="n">
        <f aca="false">IF(OR(ISTEXT(H26),Q26=0),"",IF(Q26&lt;0.1,1,IF(Q26&lt;1,2,IF(Q26&lt;10,3,IF(Q26&lt;50,4,IF(Q26&gt;=50,5,""))))))</f>
        <v>3</v>
      </c>
      <c r="S26" s="487" t="n">
        <f aca="false">IF(ISERROR(R26*I26),0,R26*I26)</f>
        <v>9</v>
      </c>
      <c r="T26" s="487" t="n">
        <f aca="false">IF(ISERROR(R26*I26*J26),0,R26*I26*J26)</f>
        <v>18</v>
      </c>
      <c r="U26" s="499" t="n">
        <f aca="false">IF(ISERROR(R26*J26),0,R26*J26)</f>
        <v>6</v>
      </c>
      <c r="V26" s="488" t="str">
        <f aca="false">IF(AND(A26="",F26=0),"",IF(F26=0,"Il manque le(s) % de rec. !",""))</f>
        <v/>
      </c>
      <c r="W26" s="489"/>
      <c r="Y26" s="490" t="str">
        <f aca="false">IF(A26="new.cod","NEWCOD",IF(AND((Z26=""),ISTEXT(A26)),A26,IF(Z26="","",INDEX('liste reference'!$A$8:$A$904,Z26))))</f>
        <v>ENTSPX</v>
      </c>
      <c r="Z26" s="280" t="n">
        <f aca="false">IF(ISERROR(MATCH(A26,'liste reference'!$A$8:$A$904,0)),IF(ISERROR(MATCH(A26,'liste reference'!$B$8:$B$904,0)),"",(MATCH(A26,'liste reference'!$B$8:$B$904,0))),(MATCH(A26,'liste reference'!$A$8:$A$904,0)))</f>
        <v>28</v>
      </c>
      <c r="AA26" s="491"/>
      <c r="AB26" s="492"/>
      <c r="AC26" s="492"/>
      <c r="BB26" s="280" t="n">
        <f aca="false">IF(A26="","",1)</f>
        <v>1</v>
      </c>
    </row>
    <row r="27" customFormat="false" ht="12.75" hidden="false" customHeight="false" outlineLevel="0" collapsed="false">
      <c r="A27" s="493" t="s">
        <v>160</v>
      </c>
      <c r="B27" s="494" t="n">
        <v>2.3</v>
      </c>
      <c r="C27" s="495"/>
      <c r="D27" s="477" t="str">
        <f aca="false">IF(ISERROR(VLOOKUP($A27,'liste reference'!$A$7:$D$904,2,0)),IF(ISERROR(VLOOKUP($A27,'liste reference'!$B$7:$D$904,1,0)),"",VLOOKUP($A27,'liste reference'!$B$7:$D$904,1,0)),VLOOKUP($A27,'liste reference'!$A$7:$D$904,2,0))</f>
        <v>Melosira sp.</v>
      </c>
      <c r="E27" s="496" t="e">
        <f aca="false">IF(D27="",0,VLOOKUP(D27,D$22:D26,1,0))</f>
        <v>#N/A</v>
      </c>
      <c r="F27" s="497" t="n">
        <f aca="false">($B27*$B$7+$C27*$C$7)/100</f>
        <v>2.3</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8714</v>
      </c>
      <c r="Q27" s="486" t="n">
        <f aca="false">IF(ISTEXT(H27),"",(B27*$B$7/100)+(C27*$C$7/100))</f>
        <v>2.3</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Y27" s="490" t="str">
        <f aca="false">IF(A27="new.cod","NEWCOD",IF(AND((Z27=""),ISTEXT(A27)),A27,IF(Z27="","",INDEX('liste reference'!$A$8:$A$904,Z27))))</f>
        <v>MELSPX</v>
      </c>
      <c r="Z27" s="280" t="n">
        <f aca="false">IF(ISERROR(MATCH(A27,'liste reference'!$A$8:$A$904,0)),IF(ISERROR(MATCH(A27,'liste reference'!$B$8:$B$904,0)),"",(MATCH(A27,'liste reference'!$B$8:$B$904,0))),(MATCH(A27,'liste reference'!$A$8:$A$904,0)))</f>
        <v>36</v>
      </c>
      <c r="AA27" s="491"/>
      <c r="AB27" s="492"/>
      <c r="AC27" s="492"/>
      <c r="BB27" s="280" t="n">
        <f aca="false">IF(A27="","",1)</f>
        <v>1</v>
      </c>
    </row>
    <row r="28" customFormat="false" ht="12.75" hidden="false" customHeight="false" outlineLevel="0" collapsed="false">
      <c r="A28" s="493" t="s">
        <v>223</v>
      </c>
      <c r="B28" s="494" t="n">
        <v>1</v>
      </c>
      <c r="C28" s="495"/>
      <c r="D28" s="477" t="str">
        <f aca="false">IF(ISERROR(VLOOKUP($A28,'liste reference'!$A$7:$D$904,2,0)),IF(ISERROR(VLOOKUP($A28,'liste reference'!$B$7:$D$904,1,0)),"",VLOOKUP($A28,'liste reference'!$B$7:$D$904,1,0)),VLOOKUP($A28,'liste reference'!$A$7:$D$904,2,0))</f>
        <v>Oedogonium sp.</v>
      </c>
      <c r="E28" s="496" t="e">
        <f aca="false">IF(D28="",0,VLOOKUP(D28,D$22:D27,1,0))</f>
        <v>#N/A</v>
      </c>
      <c r="F28" s="497" t="n">
        <f aca="false">($B28*$B$7+$C28*$C$7)/100</f>
        <v>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1</v>
      </c>
      <c r="R28" s="487" t="n">
        <f aca="false">IF(OR(ISTEXT(H28),Q28=0),"",IF(Q28&lt;0.1,1,IF(Q28&lt;1,2,IF(Q28&lt;10,3,IF(Q28&lt;50,4,IF(Q28&gt;=50,5,""))))))</f>
        <v>3</v>
      </c>
      <c r="S28" s="487" t="n">
        <f aca="false">IF(ISERROR(R28*I28),0,R28*I28)</f>
        <v>18</v>
      </c>
      <c r="T28" s="487" t="n">
        <f aca="false">IF(ISERROR(R28*I28*J28),0,R28*I28*J28)</f>
        <v>36</v>
      </c>
      <c r="U28" s="499" t="n">
        <f aca="false">IF(ISERROR(R28*J28),0,R28*J28)</f>
        <v>6</v>
      </c>
      <c r="V28" s="488" t="str">
        <f aca="false">IF(AND(A28="",F28=0),"",IF(F28=0,"Il manque le(s) % de rec. !",""))</f>
        <v/>
      </c>
      <c r="W28" s="500"/>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c r="AC28" s="492"/>
      <c r="BB28" s="280" t="n">
        <f aca="false">IF(A28="","",1)</f>
        <v>1</v>
      </c>
    </row>
    <row r="29" customFormat="false" ht="12.75" hidden="false" customHeight="false" outlineLevel="0" collapsed="false">
      <c r="A29" s="493" t="s">
        <v>258</v>
      </c>
      <c r="B29" s="494" t="n">
        <v>0.1</v>
      </c>
      <c r="C29" s="495"/>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0.1</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0.1</v>
      </c>
      <c r="R29" s="487" t="n">
        <f aca="false">IF(OR(ISTEXT(H29),Q29=0),"",IF(Q29&lt;0.1,1,IF(Q29&lt;1,2,IF(Q29&lt;10,3,IF(Q29&lt;50,4,IF(Q29&gt;=50,5,""))))))</f>
        <v>2</v>
      </c>
      <c r="S29" s="487" t="n">
        <f aca="false">IF(ISERROR(R29*I29),0,R29*I29)</f>
        <v>20</v>
      </c>
      <c r="T29" s="487" t="n">
        <f aca="false">IF(ISERROR(R29*I29*J29),0,R29*I29*J29)</f>
        <v>20</v>
      </c>
      <c r="U29" s="499" t="n">
        <f aca="false">IF(ISERROR(R29*J29),0,R29*J29)</f>
        <v>2</v>
      </c>
      <c r="V29" s="488" t="str">
        <f aca="false">IF(AND(A29="",F29=0),"",IF(F29=0,"Il manque le(s) % de rec. !",""))</f>
        <v/>
      </c>
      <c r="W29" s="489"/>
      <c r="X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263</v>
      </c>
      <c r="B30" s="494" t="n">
        <v>0.1</v>
      </c>
      <c r="C30" s="495"/>
      <c r="D30" s="477" t="str">
        <f aca="false">IF(ISERROR(VLOOKUP($A30,'liste reference'!$A$7:$D$904,2,0)),IF(ISERROR(VLOOKUP($A30,'liste reference'!$B$7:$D$904,1,0)),"",VLOOKUP($A30,'liste reference'!$B$7:$D$904,1,0)),VLOOKUP($A30,'liste reference'!$A$7:$D$904,2,0))</f>
        <v>Stigeoclonium sp.</v>
      </c>
      <c r="E30" s="496" t="e">
        <f aca="false">IF(D30="",0,VLOOKUP(D30,D$22:D29,1,0))</f>
        <v>#N/A</v>
      </c>
      <c r="F30" s="497" t="n">
        <f aca="false">($B30*$B$7+$C30*$C$7)/100</f>
        <v>0.1</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Stigeoclonium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1119</v>
      </c>
      <c r="Q30" s="486" t="n">
        <f aca="false">IF(ISTEXT(H30),"",(B30*$B$7/100)+(C30*$C$7/100))</f>
        <v>0.1</v>
      </c>
      <c r="R30" s="487" t="n">
        <f aca="false">IF(OR(ISTEXT(H30),Q30=0),"",IF(Q30&lt;0.1,1,IF(Q30&lt;1,2,IF(Q30&lt;10,3,IF(Q30&lt;50,4,IF(Q30&gt;=50,5,""))))))</f>
        <v>2</v>
      </c>
      <c r="S30" s="487" t="n">
        <f aca="false">IF(ISERROR(R30*I30),0,R30*I30)</f>
        <v>26</v>
      </c>
      <c r="T30" s="487" t="n">
        <f aca="false">IF(ISERROR(R30*I30*J30),0,R30*I30*J30)</f>
        <v>52</v>
      </c>
      <c r="U30" s="499" t="n">
        <f aca="false">IF(ISERROR(R30*J30),0,R30*J30)</f>
        <v>4</v>
      </c>
      <c r="V30" s="488" t="str">
        <f aca="false">IF(AND(A30="",F30=0),"",IF(F30=0,"Il manque le(s) % de rec. !",""))</f>
        <v/>
      </c>
      <c r="W30" s="489"/>
      <c r="Y30" s="490" t="str">
        <f aca="false">IF(A30="new.cod","NEWCOD",IF(AND((Z30=""),ISTEXT(A30)),A30,IF(Z30="","",INDEX('liste reference'!$A$8:$A$904,Z30))))</f>
        <v>STISPX</v>
      </c>
      <c r="Z30" s="280" t="n">
        <f aca="false">IF(ISERROR(MATCH(A30,'liste reference'!$A$8:$A$904,0)),IF(ISERROR(MATCH(A30,'liste reference'!$B$8:$B$904,0)),"",(MATCH(A30,'liste reference'!$B$8:$B$904,0))),(MATCH(A30,'liste reference'!$A$8:$A$904,0)))</f>
        <v>71</v>
      </c>
      <c r="AA30" s="491"/>
      <c r="AB30" s="492"/>
      <c r="AC30" s="492"/>
      <c r="BB30" s="280" t="n">
        <f aca="false">IF(A30="","",1)</f>
        <v>1</v>
      </c>
    </row>
    <row r="31" customFormat="false" ht="12.75" hidden="false" customHeight="false" outlineLevel="0" collapsed="false">
      <c r="A31" s="493" t="s">
        <v>301</v>
      </c>
      <c r="B31" s="494" t="n">
        <v>1.1</v>
      </c>
      <c r="C31" s="495"/>
      <c r="D31" s="477" t="str">
        <f aca="false">IF(ISERROR(VLOOKUP($A31,'liste reference'!$A$7:$D$904,2,0)),IF(ISERROR(VLOOKUP($A31,'liste reference'!$B$7:$D$904,1,0)),"",VLOOKUP($A31,'liste reference'!$B$7:$D$904,1,0)),VLOOKUP($A31,'liste reference'!$A$7:$D$904,2,0))</f>
        <v>Vaucheria sp.</v>
      </c>
      <c r="E31" s="496" t="e">
        <f aca="false">IF(D31="",0,VLOOKUP(D31,D$22:D30,1,0))</f>
        <v>#N/A</v>
      </c>
      <c r="F31" s="497" t="n">
        <f aca="false">($B31*$B$7+$C31*$C$7)/100</f>
        <v>1.1</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Vaucheria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6193</v>
      </c>
      <c r="Q31" s="486" t="n">
        <f aca="false">IF(ISTEXT(H31),"",(B31*$B$7/100)+(C31*$C$7/100))</f>
        <v>1.1</v>
      </c>
      <c r="R31" s="487" t="n">
        <f aca="false">IF(OR(ISTEXT(H31),Q31=0),"",IF(Q31&lt;0.1,1,IF(Q31&lt;1,2,IF(Q31&lt;10,3,IF(Q31&lt;50,4,IF(Q31&gt;=50,5,""))))))</f>
        <v>3</v>
      </c>
      <c r="S31" s="487" t="n">
        <f aca="false">IF(ISERROR(R31*I31),0,R31*I31)</f>
        <v>12</v>
      </c>
      <c r="T31" s="487" t="n">
        <f aca="false">IF(ISERROR(R31*I31*J31),0,R31*I31*J31)</f>
        <v>12</v>
      </c>
      <c r="U31" s="499" t="n">
        <f aca="false">IF(ISERROR(R31*J31),0,R31*J31)</f>
        <v>3</v>
      </c>
      <c r="V31" s="488" t="str">
        <f aca="false">IF(AND(A31="",F31=0),"",IF(F31=0,"Il manque le(s) % de rec. !",""))</f>
        <v/>
      </c>
      <c r="W31" s="489"/>
      <c r="Y31" s="490" t="str">
        <f aca="false">IF(A31="new.cod","NEWCOD",IF(AND((Z31=""),ISTEXT(A31)),A31,IF(Z31="","",INDEX('liste reference'!$A$8:$A$904,Z31))))</f>
        <v>VAUSPX</v>
      </c>
      <c r="Z31" s="280" t="n">
        <f aca="false">IF(ISERROR(MATCH(A31,'liste reference'!$A$8:$A$904,0)),IF(ISERROR(MATCH(A31,'liste reference'!$B$8:$B$904,0)),"",(MATCH(A31,'liste reference'!$B$8:$B$904,0))),(MATCH(A31,'liste reference'!$A$8:$A$904,0)))</f>
        <v>82</v>
      </c>
      <c r="AA31" s="491"/>
      <c r="AB31" s="492"/>
      <c r="AC31" s="492"/>
      <c r="BB31" s="280" t="n">
        <f aca="false">IF(A31="","",1)</f>
        <v>1</v>
      </c>
    </row>
    <row r="32" customFormat="false" ht="12.75" hidden="false" customHeight="false" outlineLevel="0" collapsed="false">
      <c r="A32" s="493" t="s">
        <v>896</v>
      </c>
      <c r="B32" s="494" t="n">
        <v>0.005</v>
      </c>
      <c r="C32" s="495"/>
      <c r="D32" s="477" t="str">
        <f aca="false">IF(ISERROR(VLOOKUP($A32,'liste reference'!$A$7:$D$904,2,0)),IF(ISERROR(VLOOKUP($A32,'liste reference'!$B$7:$D$904,1,0)),"",VLOOKUP($A32,'liste reference'!$B$7:$D$904,1,0)),VLOOKUP($A32,'liste reference'!$A$7:$D$904,2,0))</f>
        <v>Fontinalis antipyretica</v>
      </c>
      <c r="E32" s="496" t="e">
        <f aca="false">IF(D32="",0,VLOOKUP(D32,D$22:D31,1,0))</f>
        <v>#N/A</v>
      </c>
      <c r="F32" s="497" t="n">
        <f aca="false">($B32*$B$7+$C32*$C$7)/100</f>
        <v>0.005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antipyretica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1310</v>
      </c>
      <c r="Q32" s="486" t="n">
        <f aca="false">IF(ISTEXT(H32),"",(B32*$B$7/100)+(C32*$C$7/100))</f>
        <v>0.005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FONANT</v>
      </c>
      <c r="Z32" s="280" t="n">
        <f aca="false">IF(ISERROR(MATCH(A32,'liste reference'!$A$8:$A$904,0)),IF(ISERROR(MATCH(A32,'liste reference'!$B$8:$B$904,0)),"",(MATCH(A32,'liste reference'!$B$8:$B$904,0))),(MATCH(A32,'liste reference'!$A$8:$A$904,0)))</f>
        <v>210</v>
      </c>
      <c r="AA32" s="491"/>
      <c r="AB32" s="492"/>
      <c r="AC32" s="492"/>
      <c r="BB32" s="280" t="n">
        <f aca="false">IF(A32="","",1)</f>
        <v>1</v>
      </c>
    </row>
    <row r="33" customFormat="false" ht="12.75" hidden="false" customHeight="false" outlineLevel="0" collapsed="false">
      <c r="A33" s="493" t="s">
        <v>959</v>
      </c>
      <c r="B33" s="494" t="n">
        <v>0.005</v>
      </c>
      <c r="C33" s="495"/>
      <c r="D33" s="477" t="str">
        <f aca="false">IF(ISERROR(VLOOKUP($A33,'liste reference'!$A$7:$D$904,2,0)),IF(ISERROR(VLOOKUP($A33,'liste reference'!$B$7:$D$904,1,0)),"",VLOOKUP($A33,'liste reference'!$B$7:$D$904,1,0)),VLOOKUP($A33,'liste reference'!$A$7:$D$904,2,0))</f>
        <v>Octodiceras fontanum</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7</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Octodiceras fontanum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1303</v>
      </c>
      <c r="Q33" s="486" t="n">
        <f aca="false">IF(ISTEXT(H33),"",(B33*$B$7/100)+(C33*$C$7/100))</f>
        <v>0.005</v>
      </c>
      <c r="R33" s="487" t="n">
        <f aca="false">IF(OR(ISTEXT(H33),Q33=0),"",IF(Q33&lt;0.1,1,IF(Q33&lt;1,2,IF(Q33&lt;10,3,IF(Q33&lt;50,4,IF(Q33&gt;=50,5,""))))))</f>
        <v>1</v>
      </c>
      <c r="S33" s="487" t="n">
        <f aca="false">IF(ISERROR(R33*I33),0,R33*I33)</f>
        <v>7</v>
      </c>
      <c r="T33" s="487" t="n">
        <f aca="false">IF(ISERROR(R33*I33*J33),0,R33*I33*J33)</f>
        <v>21</v>
      </c>
      <c r="U33" s="499" t="n">
        <f aca="false">IF(ISERROR(R33*J33),0,R33*J33)</f>
        <v>3</v>
      </c>
      <c r="V33" s="488" t="str">
        <f aca="false">IF(AND(A33="",F33=0),"",IF(F33=0,"Il manque le(s) % de rec. !",""))</f>
        <v/>
      </c>
      <c r="W33" s="489"/>
      <c r="Y33" s="490" t="str">
        <f aca="false">IF(A33="new.cod","NEWCOD",IF(AND((Z33=""),ISTEXT(A33)),A33,IF(Z33="","",INDEX('liste reference'!$A$8:$A$904,Z33))))</f>
        <v>OCTFON</v>
      </c>
      <c r="Z33" s="280" t="n">
        <f aca="false">IF(ISERROR(MATCH(A33,'liste reference'!$A$8:$A$904,0)),IF(ISERROR(MATCH(A33,'liste reference'!$B$8:$B$904,0)),"",(MATCH(A33,'liste reference'!$B$8:$B$904,0))),(MATCH(A33,'liste reference'!$A$8:$A$904,0)))</f>
        <v>228</v>
      </c>
      <c r="AA33" s="491"/>
      <c r="AB33" s="492"/>
      <c r="AC33" s="492"/>
      <c r="BB33" s="280" t="n">
        <f aca="false">IF(A33="","",1)</f>
        <v>1</v>
      </c>
    </row>
    <row r="34" customFormat="false" ht="12.75" hidden="false" customHeight="false" outlineLevel="0" collapsed="false">
      <c r="A34" s="493" t="s">
        <v>1224</v>
      </c>
      <c r="B34" s="494" t="n">
        <v>0.005</v>
      </c>
      <c r="C34" s="495"/>
      <c r="D34" s="477" t="str">
        <f aca="false">IF(ISERROR(VLOOKUP($A34,'liste reference'!$A$7:$D$904,2,0)),IF(ISERROR(VLOOKUP($A34,'liste reference'!$B$7:$D$904,1,0)),"",VLOOKUP($A34,'liste reference'!$B$7:$D$904,1,0)),VLOOKUP($A34,'liste reference'!$A$7:$D$904,2,0))</f>
        <v>Apium nodiflorum</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Apium nodiflorum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1974</v>
      </c>
      <c r="Q34" s="486" t="n">
        <f aca="false">IF(ISTEXT(H34),"",(B34*$B$7/100)+(C34*$C$7/100))</f>
        <v>0.005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APINOD</v>
      </c>
      <c r="Z34" s="280" t="n">
        <f aca="false">IF(ISERROR(MATCH(A34,'liste reference'!$A$8:$A$904,0)),IF(ISERROR(MATCH(A34,'liste reference'!$B$8:$B$904,0)),"",(MATCH(A34,'liste reference'!$B$8:$B$904,0))),(MATCH(A34,'liste reference'!$A$8:$A$904,0)))</f>
        <v>309</v>
      </c>
      <c r="AA34" s="491"/>
      <c r="AB34" s="492"/>
      <c r="AC34" s="492"/>
      <c r="BB34" s="280" t="n">
        <f aca="false">IF(A34="","",1)</f>
        <v>1</v>
      </c>
    </row>
    <row r="35" customFormat="false" ht="12.75" hidden="false" customHeight="false" outlineLevel="0" collapsed="false">
      <c r="A35" s="493" t="s">
        <v>1375</v>
      </c>
      <c r="B35" s="494" t="n">
        <v>1.9</v>
      </c>
      <c r="C35" s="495"/>
      <c r="D35" s="477" t="str">
        <f aca="false">IF(ISERROR(VLOOKUP($A35,'liste reference'!$A$7:$D$904,2,0)),IF(ISERROR(VLOOKUP($A35,'liste reference'!$B$7:$D$904,1,0)),"",VLOOKUP($A35,'liste reference'!$B$7:$D$904,1,0)),VLOOKUP($A35,'liste reference'!$A$7:$D$904,2,0))</f>
        <v>Myriophyllum spicatum</v>
      </c>
      <c r="E35" s="496" t="e">
        <f aca="false">IF(D35="",0,VLOOKUP(D35,D$22:D28,1,0))</f>
        <v>#N/A</v>
      </c>
      <c r="F35" s="501" t="n">
        <f aca="false">($B35*$B$7+$C35*$C$7)/100</f>
        <v>1.9</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8</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Myriophyllum spicatum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1778</v>
      </c>
      <c r="Q35" s="486" t="n">
        <f aca="false">IF(ISTEXT(H35),"",(B35*$B$7/100)+(C35*$C$7/100))</f>
        <v>1.9</v>
      </c>
      <c r="R35" s="487" t="n">
        <f aca="false">IF(OR(ISTEXT(H35),Q35=0),"",IF(Q35&lt;0.1,1,IF(Q35&lt;1,2,IF(Q35&lt;10,3,IF(Q35&lt;50,4,IF(Q35&gt;=50,5,""))))))</f>
        <v>3</v>
      </c>
      <c r="S35" s="487" t="n">
        <f aca="false">IF(ISERROR(R35*I35),0,R35*I35)</f>
        <v>24</v>
      </c>
      <c r="T35" s="487" t="n">
        <f aca="false">IF(ISERROR(R35*I35*J35),0,R35*I35*J35)</f>
        <v>48</v>
      </c>
      <c r="U35" s="499" t="n">
        <f aca="false">IF(ISERROR(R35*J35),0,R35*J35)</f>
        <v>6</v>
      </c>
      <c r="V35" s="488" t="str">
        <f aca="false">IF(AND(A35="",F35=0),"",IF(F35=0,"Il manque le(s) % de rec. !",""))</f>
        <v/>
      </c>
      <c r="W35" s="489"/>
      <c r="Y35" s="490" t="str">
        <f aca="false">IF(A35="new.cod","NEWCOD",IF(AND((Z35=""),ISTEXT(A35)),A35,IF(Z35="","",INDEX('liste reference'!$A$8:$A$904,Z35))))</f>
        <v>MYRSPI</v>
      </c>
      <c r="Z35" s="280" t="n">
        <f aca="false">IF(ISERROR(MATCH(A35,'liste reference'!$A$8:$A$904,0)),IF(ISERROR(MATCH(A35,'liste reference'!$B$8:$B$904,0)),"",(MATCH(A35,'liste reference'!$B$8:$B$904,0))),(MATCH(A35,'liste reference'!$A$8:$A$904,0)))</f>
        <v>373</v>
      </c>
      <c r="AA35" s="491"/>
      <c r="AB35" s="492"/>
      <c r="AC35" s="492"/>
      <c r="BB35" s="280" t="n">
        <f aca="false">IF(A35="","",1)</f>
        <v>1</v>
      </c>
    </row>
    <row r="36" customFormat="false" ht="12.75" hidden="false" customHeight="false" outlineLevel="0" collapsed="false">
      <c r="A36" s="493" t="s">
        <v>1477</v>
      </c>
      <c r="B36" s="494" t="n">
        <v>0.07</v>
      </c>
      <c r="C36" s="495"/>
      <c r="D36" s="477" t="str">
        <f aca="false">IF(ISERROR(VLOOKUP($A36,'liste reference'!$A$7:$D$904,2,0)),IF(ISERROR(VLOOKUP($A36,'liste reference'!$B$7:$D$904,1,0)),"",VLOOKUP($A36,'liste reference'!$B$7:$D$904,1,0)),VLOOKUP($A36,'liste reference'!$A$7:$D$904,2,0))</f>
        <v>Potamogeton nodosus</v>
      </c>
      <c r="E36" s="496" t="e">
        <f aca="false">IF(D36="",0,VLOOKUP(D36,D$22:D28,1,0))</f>
        <v>#N/A</v>
      </c>
      <c r="F36" s="501" t="n">
        <f aca="false">($B36*$B$7+$C36*$C$7)/100</f>
        <v>0.07</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4</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nodosus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1652</v>
      </c>
      <c r="Q36" s="486" t="n">
        <f aca="false">IF(ISTEXT(H36),"",(B36*$B$7/100)+(C36*$C$7/100))</f>
        <v>0.07</v>
      </c>
      <c r="R36" s="487" t="n">
        <f aca="false">IF(OR(ISTEXT(H36),Q36=0),"",IF(Q36&lt;0.1,1,IF(Q36&lt;1,2,IF(Q36&lt;10,3,IF(Q36&lt;50,4,IF(Q36&gt;=50,5,""))))))</f>
        <v>1</v>
      </c>
      <c r="S36" s="487" t="n">
        <f aca="false">IF(ISERROR(R36*I36),0,R36*I36)</f>
        <v>4</v>
      </c>
      <c r="T36" s="487" t="n">
        <f aca="false">IF(ISERROR(R36*I36*J36),0,R36*I36*J36)</f>
        <v>12</v>
      </c>
      <c r="U36" s="499" t="n">
        <f aca="false">IF(ISERROR(R36*J36),0,R36*J36)</f>
        <v>3</v>
      </c>
      <c r="V36" s="488" t="str">
        <f aca="false">IF(AND(A36="",F36=0),"",IF(F36=0,"Il manque le(s) % de rec. !",""))</f>
        <v/>
      </c>
      <c r="W36" s="489"/>
      <c r="Y36" s="490" t="str">
        <f aca="false">IF(A36="new.cod","NEWCOD",IF(AND((Z36=""),ISTEXT(A36)),A36,IF(Z36="","",INDEX('liste reference'!$A$8:$A$904,Z36))))</f>
        <v>POTNOD</v>
      </c>
      <c r="Z36" s="280" t="n">
        <f aca="false">IF(ISERROR(MATCH(A36,'liste reference'!$A$8:$A$904,0)),IF(ISERROR(MATCH(A36,'liste reference'!$B$8:$B$904,0)),"",(MATCH(A36,'liste reference'!$B$8:$B$904,0))),(MATCH(A36,'liste reference'!$A$8:$A$904,0)))</f>
        <v>418</v>
      </c>
      <c r="AA36" s="491"/>
      <c r="AB36" s="492"/>
      <c r="AC36" s="492"/>
      <c r="BB36" s="280" t="n">
        <f aca="false">IF(A36="","",1)</f>
        <v>1</v>
      </c>
    </row>
    <row r="37" customFormat="false" ht="12.75" hidden="false" customHeight="false" outlineLevel="0" collapsed="false">
      <c r="A37" s="493" t="s">
        <v>1708</v>
      </c>
      <c r="B37" s="494" t="n">
        <v>0.01</v>
      </c>
      <c r="C37" s="495"/>
      <c r="D37" s="477" t="str">
        <f aca="false">IF(ISERROR(VLOOKUP($A37,'liste reference'!$A$7:$D$904,2,0)),IF(ISERROR(VLOOKUP($A37,'liste reference'!$B$7:$D$904,1,0)),"",VLOOKUP($A37,'liste reference'!$B$7:$D$904,1,0)),VLOOKUP($A37,'liste reference'!$A$7:$D$904,2,0))</f>
        <v>Agrostis stolonifera</v>
      </c>
      <c r="E37" s="496" t="e">
        <f aca="false">IF(D37="",0,VLOOKUP(D37,D$22:D36,1,0))</f>
        <v>#N/A</v>
      </c>
      <c r="F37" s="501" t="n">
        <f aca="false">($B37*$B$7+$C37*$C$7)/100</f>
        <v>0.01</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1543</v>
      </c>
      <c r="Q37" s="486" t="n">
        <f aca="false">IF(ISTEXT(H37),"",(B37*$B$7/100)+(C37*$C$7/100))</f>
        <v>0.01</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AGRSTO</v>
      </c>
      <c r="Z37" s="280" t="n">
        <f aca="false">IF(ISERROR(MATCH(A37,'liste reference'!$A$8:$A$904,0)),IF(ISERROR(MATCH(A37,'liste reference'!$B$8:$B$904,0)),"",(MATCH(A37,'liste reference'!$B$8:$B$904,0))),(MATCH(A37,'liste reference'!$A$8:$A$904,0)))</f>
        <v>514</v>
      </c>
      <c r="AA37" s="491"/>
      <c r="AB37" s="492"/>
      <c r="AC37" s="492"/>
      <c r="BB37" s="280" t="n">
        <f aca="false">IF(A37="","",1)</f>
        <v>1</v>
      </c>
    </row>
    <row r="38" customFormat="false" ht="12.75" hidden="false" customHeight="false" outlineLevel="0" collapsed="false">
      <c r="A38" s="493" t="s">
        <v>1906</v>
      </c>
      <c r="B38" s="494" t="n">
        <v>0.65</v>
      </c>
      <c r="C38" s="495"/>
      <c r="D38" s="477" t="str">
        <f aca="false">IF(ISERROR(VLOOKUP($A38,'liste reference'!$A$7:$D$904,2,0)),IF(ISERROR(VLOOKUP($A38,'liste reference'!$B$7:$D$904,1,0)),"",VLOOKUP($A38,'liste reference'!$B$7:$D$904,1,0)),VLOOKUP($A38,'liste reference'!$A$7:$D$904,2,0))</f>
        <v>Ludwigia grandiflora</v>
      </c>
      <c r="E38" s="496" t="e">
        <f aca="false">IF(D38="",0,VLOOKUP(D38,D$22:D37,1,0))</f>
        <v>#N/A</v>
      </c>
      <c r="F38" s="501" t="n">
        <f aca="false">($B38*$B$7+$C38*$C$7)/100</f>
        <v>0.65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Ludwigia grandiflora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19845</v>
      </c>
      <c r="Q38" s="486" t="n">
        <f aca="false">IF(ISTEXT(H38),"",(B38*$B$7/100)+(C38*$C$7/100))</f>
        <v>0.65</v>
      </c>
      <c r="R38" s="487" t="n">
        <f aca="false">IF(OR(ISTEXT(H38),Q38=0),"",IF(Q38&lt;0.1,1,IF(Q38&lt;1,2,IF(Q38&lt;10,3,IF(Q38&lt;50,4,IF(Q38&gt;=50,5,""))))))</f>
        <v>2</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LUDGRA</v>
      </c>
      <c r="Z38" s="280" t="n">
        <f aca="false">IF(ISERROR(MATCH(A38,'liste reference'!$A$8:$A$904,0)),IF(ISERROR(MATCH(A38,'liste reference'!$B$8:$B$904,0)),"",(MATCH(A38,'liste reference'!$B$8:$B$904,0))),(MATCH(A38,'liste reference'!$A$8:$A$904,0)))</f>
        <v>593</v>
      </c>
      <c r="AA38" s="491"/>
      <c r="AB38" s="492"/>
      <c r="AC38" s="492"/>
      <c r="BB38" s="280" t="n">
        <f aca="false">IF(A38="","",1)</f>
        <v>1</v>
      </c>
    </row>
    <row r="39" customFormat="false" ht="12.75" hidden="false" customHeight="false" outlineLevel="0" collapsed="false">
      <c r="A39" s="493" t="s">
        <v>1932</v>
      </c>
      <c r="B39" s="494" t="n">
        <v>0.005</v>
      </c>
      <c r="C39" s="495"/>
      <c r="D39" s="477" t="str">
        <f aca="false">IF(ISERROR(VLOOKUP($A39,'liste reference'!$A$7:$D$904,2,0)),IF(ISERROR(VLOOKUP($A39,'liste reference'!$B$7:$D$904,1,0)),"",VLOOKUP($A39,'liste reference'!$B$7:$D$904,1,0)),VLOOKUP($A39,'liste reference'!$A$7:$D$904,2,0))</f>
        <v>Lythrum salicaria</v>
      </c>
      <c r="E39" s="496" t="e">
        <f aca="false">IF(D39="",0,VLOOKUP(D39,D$22:D38,1,0))</f>
        <v>#N/A</v>
      </c>
      <c r="F39" s="501" t="n">
        <f aca="false">($B39*$B$7+$C39*$C$7)/100</f>
        <v>0.005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Lythrum salicaria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1823</v>
      </c>
      <c r="Q39" s="486" t="n">
        <f aca="false">IF(ISTEXT(H39),"",(B39*$B$7/100)+(C39*$C$7/100))</f>
        <v>0.005</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LYTSAL</v>
      </c>
      <c r="Z39" s="280" t="n">
        <f aca="false">IF(ISERROR(MATCH(A39,'liste reference'!$A$8:$A$904,0)),IF(ISERROR(MATCH(A39,'liste reference'!$B$8:$B$904,0)),"",(MATCH(A39,'liste reference'!$B$8:$B$904,0))),(MATCH(A39,'liste reference'!$A$8:$A$904,0)))</f>
        <v>605</v>
      </c>
      <c r="AA39" s="491"/>
      <c r="AB39" s="492"/>
      <c r="AC39" s="492"/>
      <c r="BB39" s="280" t="n">
        <f aca="false">IF(A39="","",1)</f>
        <v>1</v>
      </c>
    </row>
    <row r="40" customFormat="false" ht="12.75" hidden="false" customHeight="false" outlineLevel="0" collapsed="false">
      <c r="A40" s="493" t="s">
        <v>1936</v>
      </c>
      <c r="B40" s="494" t="n">
        <v>0.05</v>
      </c>
      <c r="C40" s="495"/>
      <c r="D40" s="477" t="str">
        <f aca="false">IF(ISERROR(VLOOKUP($A40,'liste reference'!$A$7:$D$904,2,0)),IF(ISERROR(VLOOKUP($A40,'liste reference'!$B$7:$D$904,1,0)),"",VLOOKUP($A40,'liste reference'!$B$7:$D$904,1,0)),VLOOKUP($A40,'liste reference'!$A$7:$D$904,2,0))</f>
        <v>Mentha aquatica</v>
      </c>
      <c r="E40" s="496" t="e">
        <f aca="false">IF(D40="",0,VLOOKUP(D40,D$22:D39,1,0))</f>
        <v>#N/A</v>
      </c>
      <c r="F40" s="501" t="n">
        <f aca="false">($B40*$B$7+$C40*$C$7)/100</f>
        <v>0.05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12</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Mentha aquatica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1791</v>
      </c>
      <c r="Q40" s="486" t="n">
        <f aca="false">IF(ISTEXT(H40),"",(B40*$B$7/100)+(C40*$C$7/100))</f>
        <v>0.05</v>
      </c>
      <c r="R40" s="487" t="n">
        <f aca="false">IF(OR(ISTEXT(H40),Q40=0),"",IF(Q40&lt;0.1,1,IF(Q40&lt;1,2,IF(Q40&lt;10,3,IF(Q40&lt;50,4,IF(Q40&gt;=50,5,""))))))</f>
        <v>1</v>
      </c>
      <c r="S40" s="487" t="n">
        <f aca="false">IF(ISERROR(R40*I40),0,R40*I40)</f>
        <v>12</v>
      </c>
      <c r="T40" s="487" t="n">
        <f aca="false">IF(ISERROR(R40*I40*J40),0,R40*I40*J40)</f>
        <v>12</v>
      </c>
      <c r="U40" s="499" t="n">
        <f aca="false">IF(ISERROR(R40*J40),0,R40*J40)</f>
        <v>1</v>
      </c>
      <c r="V40" s="488" t="str">
        <f aca="false">IF(AND(A40="",F40=0),"",IF(F40=0,"Il manque le(s) % de rec. !",""))</f>
        <v/>
      </c>
      <c r="W40" s="489"/>
      <c r="Y40" s="490" t="str">
        <f aca="false">IF(A40="new.cod","NEWCOD",IF(AND((Z40=""),ISTEXT(A40)),A40,IF(Z40="","",INDEX('liste reference'!$A$8:$A$904,Z40))))</f>
        <v>MENAQU</v>
      </c>
      <c r="Z40" s="280" t="n">
        <f aca="false">IF(ISERROR(MATCH(A40,'liste reference'!$A$8:$A$904,0)),IF(ISERROR(MATCH(A40,'liste reference'!$B$8:$B$904,0)),"",(MATCH(A40,'liste reference'!$B$8:$B$904,0))),(MATCH(A40,'liste reference'!$A$8:$A$904,0)))</f>
        <v>607</v>
      </c>
      <c r="AA40" s="491"/>
      <c r="AB40" s="492"/>
      <c r="AC40" s="492"/>
      <c r="BB40" s="280" t="n">
        <f aca="false">IF(A40="","",1)</f>
        <v>1</v>
      </c>
    </row>
    <row r="41" customFormat="false" ht="12.75" hidden="false" customHeight="false" outlineLevel="0" collapsed="false">
      <c r="A41" s="493" t="s">
        <v>1984</v>
      </c>
      <c r="B41" s="494" t="n">
        <v>0.005</v>
      </c>
      <c r="C41" s="495"/>
      <c r="D41" s="477" t="str">
        <f aca="false">IF(ISERROR(VLOOKUP($A41,'liste reference'!$A$7:$D$904,2,0)),IF(ISERROR(VLOOKUP($A41,'liste reference'!$B$7:$D$904,1,0)),"",VLOOKUP($A41,'liste reference'!$B$7:$D$904,1,0)),VLOOKUP($A41,'liste reference'!$A$7:$D$904,2,0))</f>
        <v>Nasturtium officinale</v>
      </c>
      <c r="E41" s="496" t="e">
        <f aca="false">IF(D41="",0,VLOOKUP(D41,D$22:D40,1,0))</f>
        <v>#N/A</v>
      </c>
      <c r="F41" s="501" t="n">
        <f aca="false">($B41*$B$7+$C41*$C$7)/100</f>
        <v>0.005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Nasturtium officinale</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1763</v>
      </c>
      <c r="Q41" s="486" t="n">
        <f aca="false">IF(ISTEXT(H41),"",(B41*$B$7/100)+(C41*$C$7/100))</f>
        <v>0.005</v>
      </c>
      <c r="R41" s="487" t="n">
        <f aca="false">IF(OR(ISTEXT(H41),Q41=0),"",IF(Q41&lt;0.1,1,IF(Q41&lt;1,2,IF(Q41&lt;10,3,IF(Q41&lt;50,4,IF(Q41&gt;=50,5,""))))))</f>
        <v>1</v>
      </c>
      <c r="S41" s="487" t="n">
        <f aca="false">IF(ISERROR(R41*I41),0,R41*I41)</f>
        <v>11</v>
      </c>
      <c r="T41" s="487" t="n">
        <f aca="false">IF(ISERROR(R41*I41*J41),0,R41*I41*J41)</f>
        <v>11</v>
      </c>
      <c r="U41" s="499" t="n">
        <f aca="false">IF(ISERROR(R41*J41),0,R41*J41)</f>
        <v>1</v>
      </c>
      <c r="V41" s="488" t="str">
        <f aca="false">IF(AND(A41="",F41=0),"",IF(F41=0,"Il manque le(s) % de rec. !",""))</f>
        <v/>
      </c>
      <c r="W41" s="489"/>
      <c r="Y41" s="490" t="str">
        <f aca="false">IF(A41="new.cod","NEWCOD",IF(AND((Z41=""),ISTEXT(A41)),A41,IF(Z41="","",INDEX('liste reference'!$A$8:$A$904,Z41))))</f>
        <v>NASOFF</v>
      </c>
      <c r="Z41" s="280" t="n">
        <f aca="false">IF(ISERROR(MATCH(A41,'liste reference'!$A$8:$A$904,0)),IF(ISERROR(MATCH(A41,'liste reference'!$B$8:$B$904,0)),"",(MATCH(A41,'liste reference'!$B$8:$B$904,0))),(MATCH(A41,'liste reference'!$A$8:$A$904,0)))</f>
        <v>628</v>
      </c>
      <c r="AA41" s="491"/>
      <c r="AB41" s="492"/>
      <c r="AC41" s="492"/>
      <c r="BB41" s="280" t="n">
        <f aca="false">IF(A41="","",1)</f>
        <v>1</v>
      </c>
    </row>
    <row r="42" customFormat="false" ht="12.75" hidden="false" customHeight="false" outlineLevel="0" collapsed="false">
      <c r="A42" s="493" t="s">
        <v>2009</v>
      </c>
      <c r="B42" s="494" t="n">
        <v>0.005</v>
      </c>
      <c r="C42" s="495"/>
      <c r="D42" s="477" t="str">
        <f aca="false">IF(ISERROR(VLOOKUP($A42,'liste reference'!$A$7:$D$904,2,0)),IF(ISERROR(VLOOKUP($A42,'liste reference'!$B$7:$D$904,1,0)),"",VLOOKUP($A42,'liste reference'!$B$7:$D$904,1,0)),VLOOKUP($A42,'liste reference'!$A$7:$D$904,2,0))</f>
        <v>Polygonum hydropiper</v>
      </c>
      <c r="E42" s="496" t="e">
        <f aca="false">IF(D42="",0,VLOOKUP(D42,D$22:D41,1,0))</f>
        <v>#N/A</v>
      </c>
      <c r="F42" s="501" t="n">
        <f aca="false">($B42*$B$7+$C42*$C$7)/100</f>
        <v>0.005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8</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Polygonum hydropiper</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1865</v>
      </c>
      <c r="Q42" s="486" t="n">
        <f aca="false">IF(ISTEXT(H42),"",(B42*$B$7/100)+(C42*$C$7/100))</f>
        <v>0.005</v>
      </c>
      <c r="R42" s="487" t="n">
        <f aca="false">IF(OR(ISTEXT(H42),Q42=0),"",IF(Q42&lt;0.1,1,IF(Q42&lt;1,2,IF(Q42&lt;10,3,IF(Q42&lt;50,4,IF(Q42&gt;=50,5,""))))))</f>
        <v>1</v>
      </c>
      <c r="S42" s="487" t="n">
        <f aca="false">IF(ISERROR(R42*I42),0,R42*I42)</f>
        <v>8</v>
      </c>
      <c r="T42" s="487" t="n">
        <f aca="false">IF(ISERROR(R42*I42*J42),0,R42*I42*J42)</f>
        <v>16</v>
      </c>
      <c r="U42" s="499" t="n">
        <f aca="false">IF(ISERROR(R42*J42),0,R42*J42)</f>
        <v>2</v>
      </c>
      <c r="V42" s="488" t="str">
        <f aca="false">IF(AND(A42="",F42=0),"",IF(F42=0,"Il manque le(s) % de rec. !",""))</f>
        <v/>
      </c>
      <c r="W42" s="489"/>
      <c r="Y42" s="490" t="str">
        <f aca="false">IF(A42="new.cod","NEWCOD",IF(AND((Z42=""),ISTEXT(A42)),A42,IF(Z42="","",INDEX('liste reference'!$A$8:$A$904,Z42))))</f>
        <v>POLHYD</v>
      </c>
      <c r="Z42" s="280" t="n">
        <f aca="false">IF(ISERROR(MATCH(A42,'liste reference'!$A$8:$A$904,0)),IF(ISERROR(MATCH(A42,'liste reference'!$B$8:$B$904,0)),"",(MATCH(A42,'liste reference'!$B$8:$B$904,0))),(MATCH(A42,'liste reference'!$A$8:$A$904,0)))</f>
        <v>637</v>
      </c>
      <c r="AA42" s="491"/>
      <c r="AB42" s="492"/>
      <c r="AC42" s="492"/>
      <c r="BB42" s="280" t="n">
        <f aca="false">IF(A42="","",1)</f>
        <v>1</v>
      </c>
    </row>
    <row r="43" customFormat="false" ht="12.75" hidden="false" customHeight="false" outlineLevel="0" collapsed="false">
      <c r="A43" s="493" t="s">
        <v>2035</v>
      </c>
      <c r="B43" s="494" t="n">
        <v>0.005</v>
      </c>
      <c r="C43" s="495"/>
      <c r="D43" s="477" t="str">
        <f aca="false">IF(ISERROR(VLOOKUP($A43,'liste reference'!$A$7:$D$904,2,0)),IF(ISERROR(VLOOKUP($A43,'liste reference'!$B$7:$D$904,1,0)),"",VLOOKUP($A43,'liste reference'!$B$7:$D$904,1,0)),VLOOKUP($A43,'liste reference'!$A$7:$D$904,2,0))</f>
        <v>Rorippa sp.</v>
      </c>
      <c r="E43" s="496" t="e">
        <f aca="false">IF(D43="",0,VLOOKUP(D43,D$22:D42,1,0))</f>
        <v>#N/A</v>
      </c>
      <c r="F43" s="501" t="n">
        <f aca="false">($B43*$B$7+$C43*$C$7)/100</f>
        <v>0.005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Rorippa sp.</v>
      </c>
      <c r="L43" s="502"/>
      <c r="M43" s="502"/>
      <c r="N43" s="502"/>
      <c r="O43" s="484"/>
      <c r="P43" s="503" t="n">
        <f aca="false">IF($A43="NEWCOD",IF($AC43="","No",$AC43),IF(ISTEXT($E43),"DEJA SAISI !",IF($A43="","",IF(ISERROR(VLOOKUP($A43,'liste reference'!A:S,19,FALSE())),IF(ISERROR(VLOOKUP($A43,'liste reference'!B:S,19,FALSE())),"",VLOOKUP($A43,'liste reference'!B:S,19,FALSE())),VLOOKUP($A43,'liste reference'!A:S,19,FALSE())))))</f>
        <v>1764</v>
      </c>
      <c r="Q43" s="486" t="n">
        <f aca="false">IF(ISTEXT(H43),"",(B43*$B$7/100)+(C43*$C$7/100))</f>
        <v>0.005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RORSPX</v>
      </c>
      <c r="Z43" s="280" t="n">
        <f aca="false">IF(ISERROR(MATCH(A43,'liste reference'!$A$8:$A$904,0)),IF(ISERROR(MATCH(A43,'liste reference'!$B$8:$B$904,0)),"",(MATCH(A43,'liste reference'!$B$8:$B$904,0))),(MATCH(A43,'liste reference'!$A$8:$A$904,0)))</f>
        <v>647</v>
      </c>
      <c r="AA43" s="491"/>
      <c r="AB43" s="492"/>
      <c r="AC43" s="492"/>
      <c r="BB43" s="280" t="n">
        <f aca="false">IF(A43="","",1)</f>
        <v>1</v>
      </c>
    </row>
    <row r="44" customFormat="false" ht="12.75" hidden="false" customHeight="false" outlineLevel="0" collapsed="false">
      <c r="A44" s="493" t="s">
        <v>2068</v>
      </c>
      <c r="B44" s="494" t="n">
        <v>0.05</v>
      </c>
      <c r="C44" s="495"/>
      <c r="D44" s="477" t="str">
        <f aca="false">IF(ISERROR(VLOOKUP($A44,'liste reference'!$A$7:$D$904,2,0)),IF(ISERROR(VLOOKUP($A44,'liste reference'!$B$7:$D$904,1,0)),"",VLOOKUP($A44,'liste reference'!$B$7:$D$904,1,0)),VLOOKUP($A44,'liste reference'!$A$7:$D$904,2,0))</f>
        <v>Scirpus lacustris</v>
      </c>
      <c r="E44" s="496" t="e">
        <f aca="false">IF(D44="",0,VLOOKUP(D44,D$22:D36,1,0))</f>
        <v>#N/A</v>
      </c>
      <c r="F44" s="501" t="n">
        <f aca="false">($B44*$B$7+$C44*$C$7)/100</f>
        <v>0.05</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8</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Scirpus lacustris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1520</v>
      </c>
      <c r="Q44" s="486" t="n">
        <f aca="false">IF(ISTEXT(H44),"",(B44*$B$7/100)+(C44*$C$7/100))</f>
        <v>0.05</v>
      </c>
      <c r="R44" s="487" t="n">
        <f aca="false">IF(OR(ISTEXT(H44),Q44=0),"",IF(Q44&lt;0.1,1,IF(Q44&lt;1,2,IF(Q44&lt;10,3,IF(Q44&lt;50,4,IF(Q44&gt;=50,5,""))))))</f>
        <v>1</v>
      </c>
      <c r="S44" s="487" t="n">
        <f aca="false">IF(ISERROR(R44*I44),0,R44*I44)</f>
        <v>8</v>
      </c>
      <c r="T44" s="487" t="n">
        <f aca="false">IF(ISERROR(R44*I44*J44),0,R44*I44*J44)</f>
        <v>16</v>
      </c>
      <c r="U44" s="499" t="n">
        <f aca="false">IF(ISERROR(R44*J44),0,R44*J44)</f>
        <v>2</v>
      </c>
      <c r="V44" s="488" t="str">
        <f aca="false">IF(AND(A44="",F44=0),"",IF(F44=0,"Il manque le(s) % de rec. !",""))</f>
        <v/>
      </c>
      <c r="W44" s="489"/>
      <c r="Y44" s="490" t="str">
        <f aca="false">IF(A44="new.cod","NEWCOD",IF(AND((Z44=""),ISTEXT(A44)),A44,IF(Z44="","",INDEX('liste reference'!$A$8:$A$904,Z44))))</f>
        <v>SCILAC</v>
      </c>
      <c r="Z44" s="280" t="n">
        <f aca="false">IF(ISERROR(MATCH(A44,'liste reference'!$A$8:$A$904,0)),IF(ISERROR(MATCH(A44,'liste reference'!$B$8:$B$904,0)),"",(MATCH(A44,'liste reference'!$B$8:$B$904,0))),(MATCH(A44,'liste reference'!$A$8:$A$904,0)))</f>
        <v>663</v>
      </c>
      <c r="AA44" s="491"/>
      <c r="AB44" s="492"/>
      <c r="AC44" s="492"/>
      <c r="BB44" s="280" t="n">
        <f aca="false">IF(A44="","",1)</f>
        <v>1</v>
      </c>
    </row>
    <row r="45" customFormat="false" ht="12.75" hidden="false" customHeight="false" outlineLevel="0" collapsed="false">
      <c r="A45" s="493" t="s">
        <v>2080</v>
      </c>
      <c r="B45" s="494" t="n">
        <v>0.02</v>
      </c>
      <c r="C45" s="495"/>
      <c r="D45" s="477" t="str">
        <f aca="false">IF(ISERROR(VLOOKUP($A45,'liste reference'!$A$7:$D$904,2,0)),IF(ISERROR(VLOOKUP($A45,'liste reference'!$B$7:$D$904,1,0)),"",VLOOKUP($A45,'liste reference'!$B$7:$D$904,1,0)),VLOOKUP($A45,'liste reference'!$A$7:$D$904,2,0))</f>
        <v>Sparganium erectum</v>
      </c>
      <c r="E45" s="496" t="e">
        <f aca="false">IF(D45="",0,VLOOKUP(D45,D$22:D44,1,0))</f>
        <v>#N/A</v>
      </c>
      <c r="F45" s="501" t="n">
        <f aca="false">($B45*$B$7+$C45*$C$7)/100</f>
        <v>0.02</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10</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Sparganium erectum</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1671</v>
      </c>
      <c r="Q45" s="486" t="n">
        <f aca="false">IF(ISTEXT(H45),"",(B45*$B$7/100)+(C45*$C$7/100))</f>
        <v>0.02</v>
      </c>
      <c r="R45" s="487" t="n">
        <f aca="false">IF(OR(ISTEXT(H45),Q45=0),"",IF(Q45&lt;0.1,1,IF(Q45&lt;1,2,IF(Q45&lt;10,3,IF(Q45&lt;50,4,IF(Q45&gt;=50,5,""))))))</f>
        <v>1</v>
      </c>
      <c r="S45" s="487" t="n">
        <f aca="false">IF(ISERROR(R45*I45),0,R45*I45)</f>
        <v>10</v>
      </c>
      <c r="T45" s="487" t="n">
        <f aca="false">IF(ISERROR(R45*I45*J45),0,R45*I45*J45)</f>
        <v>10</v>
      </c>
      <c r="U45" s="499" t="n">
        <f aca="false">IF(ISERROR(R45*J45),0,R45*J45)</f>
        <v>1</v>
      </c>
      <c r="V45" s="488" t="str">
        <f aca="false">IF(AND(A45="",F45=0),"",IF(F45=0,"Il manque le(s) % de rec. !",""))</f>
        <v/>
      </c>
      <c r="W45" s="489"/>
      <c r="Y45" s="490" t="str">
        <f aca="false">IF(A45="new.cod","NEWCOD",IF(AND((Z45=""),ISTEXT(A45)),A45,IF(Z45="","",INDEX('liste reference'!$A$8:$A$904,Z45))))</f>
        <v>SPAERE</v>
      </c>
      <c r="Z45" s="280" t="n">
        <f aca="false">IF(ISERROR(MATCH(A45,'liste reference'!$A$8:$A$904,0)),IF(ISERROR(MATCH(A45,'liste reference'!$B$8:$B$904,0)),"",(MATCH(A45,'liste reference'!$B$8:$B$904,0))),(MATCH(A45,'liste reference'!$A$8:$A$904,0)))</f>
        <v>668</v>
      </c>
      <c r="AA45" s="491"/>
      <c r="AB45" s="492"/>
      <c r="AC45" s="492"/>
      <c r="BB45" s="280" t="n">
        <f aca="false">IF(A45="","",1)</f>
        <v>1</v>
      </c>
    </row>
    <row r="46" customFormat="false" ht="12.75" hidden="false" customHeight="false" outlineLevel="0" collapsed="false">
      <c r="A46" s="493" t="s">
        <v>2098</v>
      </c>
      <c r="B46" s="494" t="n">
        <v>0.4</v>
      </c>
      <c r="C46" s="495"/>
      <c r="D46" s="477" t="str">
        <f aca="false">IF(ISERROR(VLOOKUP($A46,'liste reference'!$A$7:$D$904,2,0)),IF(ISERROR(VLOOKUP($A46,'liste reference'!$B$7:$D$904,1,0)),"",VLOOKUP($A46,'liste reference'!$B$7:$D$904,1,0)),VLOOKUP($A46,'liste reference'!$A$7:$D$904,2,0))</f>
        <v>Typha latifolia</v>
      </c>
      <c r="E46" s="496" t="e">
        <f aca="false">IF(D46="",0,VLOOKUP(D46,D$22:D45,1,0))</f>
        <v>#N/A</v>
      </c>
      <c r="F46" s="501" t="n">
        <f aca="false">($B46*$B$7+$C46*$C$7)/100</f>
        <v>0.4</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8</v>
      </c>
      <c r="J46" s="481" t="n">
        <f aca="false">IF(ISNUMBER(H46),IF(ISERROR(VLOOKUP($A46,'liste reference'!$A$7:$P$904,4,0)),IF(ISERROR(VLOOKUP($A46,'liste reference'!$B$7:$P$904,3,0)),"",VLOOKUP($A46,'liste reference'!$B$7:$P$904,3,0)),VLOOKUP($A46,'liste reference'!$A$7:$P$904,4,0)),"")</f>
        <v>1</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Typha latifolia</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1676</v>
      </c>
      <c r="Q46" s="486" t="n">
        <f aca="false">IF(ISTEXT(H46),"",(B46*$B$7/100)+(C46*$C$7/100))</f>
        <v>0.4</v>
      </c>
      <c r="R46" s="487" t="n">
        <f aca="false">IF(OR(ISTEXT(H46),Q46=0),"",IF(Q46&lt;0.1,1,IF(Q46&lt;1,2,IF(Q46&lt;10,3,IF(Q46&lt;50,4,IF(Q46&gt;=50,5,""))))))</f>
        <v>2</v>
      </c>
      <c r="S46" s="487" t="n">
        <f aca="false">IF(ISERROR(R46*I46),0,R46*I46)</f>
        <v>16</v>
      </c>
      <c r="T46" s="487" t="n">
        <f aca="false">IF(ISERROR(R46*I46*J46),0,R46*I46*J46)</f>
        <v>16</v>
      </c>
      <c r="U46" s="499" t="n">
        <f aca="false">IF(ISERROR(R46*J46),0,R46*J46)</f>
        <v>2</v>
      </c>
      <c r="V46" s="488" t="str">
        <f aca="false">IF(AND(A46="",F46=0),"",IF(F46=0,"Il manque le(s) % de rec. !",""))</f>
        <v/>
      </c>
      <c r="W46" s="489"/>
      <c r="Y46" s="490" t="str">
        <f aca="false">IF(A46="new.cod","NEWCOD",IF(AND((Z46=""),ISTEXT(A46)),A46,IF(Z46="","",INDEX('liste reference'!$A$8:$A$904,Z46))))</f>
        <v>TYPLAT</v>
      </c>
      <c r="Z46" s="280" t="n">
        <f aca="false">IF(ISERROR(MATCH(A46,'liste reference'!$A$8:$A$904,0)),IF(ISERROR(MATCH(A46,'liste reference'!$B$8:$B$904,0)),"",(MATCH(A46,'liste reference'!$B$8:$B$904,0))),(MATCH(A46,'liste reference'!$A$8:$A$904,0)))</f>
        <v>677</v>
      </c>
      <c r="AA46" s="491"/>
      <c r="AB46" s="492"/>
      <c r="AC46" s="492"/>
      <c r="BB46" s="280" t="n">
        <f aca="false">IF(A46="","",1)</f>
        <v>1</v>
      </c>
    </row>
    <row r="47" customFormat="false" ht="12.75" hidden="false" customHeight="false" outlineLevel="0" collapsed="false">
      <c r="A47" s="493" t="s">
        <v>2109</v>
      </c>
      <c r="B47" s="494" t="n">
        <v>0.01</v>
      </c>
      <c r="C47" s="495"/>
      <c r="D47" s="477" t="str">
        <f aca="false">IF(ISERROR(VLOOKUP($A47,'liste reference'!$A$7:$D$904,2,0)),IF(ISERROR(VLOOKUP($A47,'liste reference'!$B$7:$D$904,1,0)),"",VLOOKUP($A47,'liste reference'!$B$7:$D$904,1,0)),VLOOKUP($A47,'liste reference'!$A$7:$D$904,2,0))</f>
        <v>Veronica anagallis-aquatica</v>
      </c>
      <c r="E47" s="496" t="e">
        <f aca="false">IF(D47="",0,VLOOKUP(D47,D$22:D46,1,0))</f>
        <v>#N/A</v>
      </c>
      <c r="F47" s="501" t="n">
        <f aca="false">($B47*$B$7+$C47*$C$7)/100</f>
        <v>0.01</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11</v>
      </c>
      <c r="J47" s="481" t="n">
        <f aca="false">IF(ISNUMBER(H47),IF(ISERROR(VLOOKUP($A47,'liste reference'!$A$7:$P$904,4,0)),IF(ISERROR(VLOOKUP($A47,'liste reference'!$B$7:$P$904,3,0)),"",VLOOKUP($A47,'liste reference'!$B$7:$P$904,3,0)),VLOOKUP($A47,'liste reference'!$A$7:$P$904,4,0)),"")</f>
        <v>2</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Veronica anagallis-aquatica</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1955</v>
      </c>
      <c r="Q47" s="486" t="n">
        <f aca="false">IF(ISTEXT(H47),"",(B47*$B$7/100)+(C47*$C$7/100))</f>
        <v>0.01</v>
      </c>
      <c r="R47" s="487" t="n">
        <f aca="false">IF(OR(ISTEXT(H47),Q47=0),"",IF(Q47&lt;0.1,1,IF(Q47&lt;1,2,IF(Q47&lt;10,3,IF(Q47&lt;50,4,IF(Q47&gt;=50,5,""))))))</f>
        <v>1</v>
      </c>
      <c r="S47" s="487" t="n">
        <f aca="false">IF(ISERROR(R47*I47),0,R47*I47)</f>
        <v>11</v>
      </c>
      <c r="T47" s="487" t="n">
        <f aca="false">IF(ISERROR(R47*I47*J47),0,R47*I47*J47)</f>
        <v>22</v>
      </c>
      <c r="U47" s="499" t="n">
        <f aca="false">IF(ISERROR(R47*J47),0,R47*J47)</f>
        <v>2</v>
      </c>
      <c r="V47" s="488" t="str">
        <f aca="false">IF(AND(A47="",F47=0),"",IF(F47=0,"Il manque le(s) % de rec. !",""))</f>
        <v/>
      </c>
      <c r="W47" s="489"/>
      <c r="Y47" s="490" t="str">
        <f aca="false">IF(A47="new.cod","NEWCOD",IF(AND((Z47=""),ISTEXT(A47)),A47,IF(Z47="","",INDEX('liste reference'!$A$8:$A$904,Z47))))</f>
        <v>VERANA</v>
      </c>
      <c r="Z47" s="280" t="n">
        <f aca="false">IF(ISERROR(MATCH(A47,'liste reference'!$A$8:$A$904,0)),IF(ISERROR(MATCH(A47,'liste reference'!$B$8:$B$904,0)),"",(MATCH(A47,'liste reference'!$B$8:$B$904,0))),(MATCH(A47,'liste reference'!$A$8:$A$904,0)))</f>
        <v>682</v>
      </c>
      <c r="AA47" s="491"/>
      <c r="AB47" s="492"/>
      <c r="AC47" s="492"/>
      <c r="BB47" s="280" t="n">
        <f aca="false">IF(A47="","",1)</f>
        <v>1</v>
      </c>
    </row>
    <row r="48" customFormat="false" ht="12.75" hidden="false" customHeight="false" outlineLevel="0" collapsed="false">
      <c r="A48" s="493" t="s">
        <v>2202</v>
      </c>
      <c r="B48" s="494" t="n">
        <v>0.005</v>
      </c>
      <c r="C48" s="495"/>
      <c r="D48" s="477" t="str">
        <f aca="false">IF(ISERROR(VLOOKUP($A48,'liste reference'!$A$7:$D$904,2,0)),IF(ISERROR(VLOOKUP($A48,'liste reference'!$B$7:$D$904,1,0)),"",VLOOKUP($A48,'liste reference'!$B$7:$D$904,1,0)),VLOOKUP($A48,'liste reference'!$A$7:$D$904,2,0))</f>
        <v>Cyperus eragrostis</v>
      </c>
      <c r="E48" s="496" t="e">
        <f aca="false">IF(D48="",0,VLOOKUP(D48,D$22:D47,1,0))</f>
        <v>#N/A</v>
      </c>
      <c r="F48" s="501" t="n">
        <f aca="false">($B48*$B$7+$C48*$C$7)/100</f>
        <v>0.005</v>
      </c>
      <c r="G48" s="479" t="str">
        <f aca="false">IF(A48="","",IF(ISERROR(VLOOKUP($A48,'liste reference'!$A$7:$P$904,13,0)),IF(ISERROR(VLOOKUP($A48,'liste reference'!$B$7:$P$904,12,0)),"    -",VLOOKUP($A48,'liste reference'!$B$7:$P$904,12,0)),VLOOKUP($A48,'liste reference'!$A$7:$P$904,13,0)))</f>
        <v>PHg</v>
      </c>
      <c r="H48" s="480" t="n">
        <f aca="false">IF(A48="","x",IF(ISERROR(VLOOKUP($A48,'liste reference'!$A$8:$P$904,14,0)),IF(ISERROR(VLOOKUP($A48,'liste reference'!$B$8:$P$904,13,0)),"x",VLOOKUP($A48,'liste reference'!$B$8:$P$904,13,0)),VLOOKUP($A48,'liste reference'!$A$8:$P$904,14,0)))</f>
        <v>9</v>
      </c>
      <c r="I48" s="481" t="n">
        <f aca="false">IF(ISNUMBER(H48),IF(ISERROR(VLOOKUP($A48,'liste reference'!$A$7:$P$904,3,0)),IF(ISERROR(VLOOKUP($A48,'liste reference'!$B$7:$P$904,2,0)),"",VLOOKUP($A48,'liste reference'!$B$7:$P$904,2,0)),VLOOKUP($A48,'liste reference'!$A$7:$P$904,3,0)),"")</f>
        <v>0</v>
      </c>
      <c r="J48" s="481" t="n">
        <f aca="false">IF(ISNUMBER(H48),IF(ISERROR(VLOOKUP($A48,'liste reference'!$A$7:$P$904,4,0)),IF(ISERROR(VLOOKUP($A48,'liste reference'!$B$7:$P$904,3,0)),"",VLOOKUP($A48,'liste reference'!$B$7:$P$904,3,0)),VLOOKUP($A48,'liste reference'!$A$7:$P$904,4,0)),"")</f>
        <v>0</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Cyperus eragrostis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19611</v>
      </c>
      <c r="Q48" s="486" t="n">
        <f aca="false">IF(ISTEXT(H48),"",(B48*$B$7/100)+(C48*$C$7/100))</f>
        <v>0.005</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CYPERA</v>
      </c>
      <c r="Z48" s="280" t="n">
        <f aca="false">IF(ISERROR(MATCH(A48,'liste reference'!$A$8:$A$904,0)),IF(ISERROR(MATCH(A48,'liste reference'!$B$8:$B$904,0)),"",(MATCH(A48,'liste reference'!$B$8:$B$904,0))),(MATCH(A48,'liste reference'!$A$8:$A$904,0)))</f>
        <v>723</v>
      </c>
      <c r="AA48" s="491"/>
      <c r="AB48" s="492"/>
      <c r="AC48" s="492"/>
      <c r="BB48" s="280" t="n">
        <f aca="false">IF(A48="","",1)</f>
        <v>1</v>
      </c>
    </row>
    <row r="49" customFormat="false" ht="12.75" hidden="false" customHeight="false" outlineLevel="0" collapsed="false">
      <c r="A49" s="493" t="s">
        <v>2204</v>
      </c>
      <c r="B49" s="494" t="n">
        <v>0.005</v>
      </c>
      <c r="C49" s="495"/>
      <c r="D49" s="477" t="str">
        <f aca="false">IF(ISERROR(VLOOKUP($A49,'liste reference'!$A$7:$D$904,2,0)),IF(ISERROR(VLOOKUP($A49,'liste reference'!$B$7:$D$904,1,0)),"",VLOOKUP($A49,'liste reference'!$B$7:$D$904,1,0)),VLOOKUP($A49,'liste reference'!$A$7:$D$904,2,0))</f>
        <v>Cyperus longus</v>
      </c>
      <c r="E49" s="496" t="e">
        <f aca="false">IF(D49="",0,VLOOKUP(D49,D$22:D48,1,0))</f>
        <v>#N/A</v>
      </c>
      <c r="F49" s="501" t="n">
        <f aca="false">($B49*$B$7+$C49*$C$7)/100</f>
        <v>0.005</v>
      </c>
      <c r="G49" s="479" t="str">
        <f aca="false">IF(A49="","",IF(ISERROR(VLOOKUP($A49,'liste reference'!$A$7:$P$904,13,0)),IF(ISERROR(VLOOKUP($A49,'liste reference'!$B$7:$P$904,12,0)),"    -",VLOOKUP($A49,'liste reference'!$B$7:$P$904,12,0)),VLOOKUP($A49,'liste reference'!$A$7:$P$904,13,0)))</f>
        <v>PHg</v>
      </c>
      <c r="H49" s="480" t="n">
        <f aca="false">IF(A49="","x",IF(ISERROR(VLOOKUP($A49,'liste reference'!$A$8:$P$904,14,0)),IF(ISERROR(VLOOKUP($A49,'liste reference'!$B$8:$P$904,13,0)),"x",VLOOKUP($A49,'liste reference'!$B$8:$P$904,13,0)),VLOOKUP($A49,'liste reference'!$A$8:$P$904,14,0)))</f>
        <v>9</v>
      </c>
      <c r="I49" s="481" t="n">
        <f aca="false">IF(ISNUMBER(H49),IF(ISERROR(VLOOKUP($A49,'liste reference'!$A$7:$P$904,3,0)),IF(ISERROR(VLOOKUP($A49,'liste reference'!$B$7:$P$904,2,0)),"",VLOOKUP($A49,'liste reference'!$B$7:$P$904,2,0)),VLOOKUP($A49,'liste reference'!$A$7:$P$904,3,0)),"")</f>
        <v>0</v>
      </c>
      <c r="J49" s="481" t="n">
        <f aca="false">IF(ISNUMBER(H49),IF(ISERROR(VLOOKUP($A49,'liste reference'!$A$7:$P$904,4,0)),IF(ISERROR(VLOOKUP($A49,'liste reference'!$B$7:$P$904,3,0)),"",VLOOKUP($A49,'liste reference'!$B$7:$P$904,3,0)),VLOOKUP($A49,'liste reference'!$A$7:$P$904,4,0)),"")</f>
        <v>0</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Cyperus longus</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1500</v>
      </c>
      <c r="Q49" s="486" t="n">
        <f aca="false">IF(ISTEXT(H49),"",(B49*$B$7/100)+(C49*$C$7/100))</f>
        <v>0.005</v>
      </c>
      <c r="R49" s="487" t="n">
        <f aca="false">IF(OR(ISTEXT(H49),Q49=0),"",IF(Q49&lt;0.1,1,IF(Q49&lt;1,2,IF(Q49&lt;10,3,IF(Q49&lt;50,4,IF(Q49&gt;=50,5,""))))))</f>
        <v>1</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CYPLON</v>
      </c>
      <c r="Z49" s="280" t="n">
        <f aca="false">IF(ISERROR(MATCH(A49,'liste reference'!$A$8:$A$904,0)),IF(ISERROR(MATCH(A49,'liste reference'!$B$8:$B$904,0)),"",(MATCH(A49,'liste reference'!$B$8:$B$904,0))),(MATCH(A49,'liste reference'!$A$8:$A$904,0)))</f>
        <v>724</v>
      </c>
      <c r="AA49" s="491"/>
      <c r="AB49" s="492"/>
      <c r="AC49" s="492"/>
      <c r="BB49" s="280" t="n">
        <f aca="false">IF(A49="","",1)</f>
        <v>1</v>
      </c>
    </row>
    <row r="50" customFormat="false" ht="12.75" hidden="false" customHeight="false" outlineLevel="0" collapsed="false">
      <c r="A50" s="493" t="s">
        <v>2436</v>
      </c>
      <c r="B50" s="494" t="n">
        <v>0.005</v>
      </c>
      <c r="C50" s="495"/>
      <c r="D50" s="477" t="str">
        <f aca="false">IF(ISERROR(VLOOKUP($A50,'liste reference'!$A$7:$D$904,2,0)),IF(ISERROR(VLOOKUP($A50,'liste reference'!$B$7:$D$904,1,0)),"",VLOOKUP($A50,'liste reference'!$B$7:$D$904,1,0)),VLOOKUP($A50,'liste reference'!$A$7:$D$904,2,0))</f>
        <v>Solanum dulcamara</v>
      </c>
      <c r="E50" s="496" t="e">
        <f aca="false">IF(D50="",0,VLOOKUP(D50,D$22:D49,1,0))</f>
        <v>#N/A</v>
      </c>
      <c r="F50" s="501" t="n">
        <f aca="false">($B50*$B$7+$C50*$C$7)/100</f>
        <v>0.005</v>
      </c>
      <c r="G50" s="479" t="str">
        <f aca="false">IF(A50="","",IF(ISERROR(VLOOKUP($A50,'liste reference'!$A$7:$P$904,13,0)),IF(ISERROR(VLOOKUP($A50,'liste reference'!$B$7:$P$904,12,0)),"    -",VLOOKUP($A50,'liste reference'!$B$7:$P$904,12,0)),VLOOKUP($A50,'liste reference'!$A$7:$P$904,13,0)))</f>
        <v>PHg</v>
      </c>
      <c r="H50" s="480" t="n">
        <f aca="false">IF(A50="","x",IF(ISERROR(VLOOKUP($A50,'liste reference'!$A$8:$P$904,14,0)),IF(ISERROR(VLOOKUP($A50,'liste reference'!$B$8:$P$904,13,0)),"x",VLOOKUP($A50,'liste reference'!$B$8:$P$904,13,0)),VLOOKUP($A50,'liste reference'!$A$8:$P$904,14,0)))</f>
        <v>9</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Solanum dulcamara</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1964</v>
      </c>
      <c r="Q50" s="486" t="n">
        <f aca="false">IF(ISTEXT(H50),"",(B50*$B$7/100)+(C50*$C$7/100))</f>
        <v>0.005</v>
      </c>
      <c r="R50" s="487" t="n">
        <f aca="false">IF(OR(ISTEXT(H50),Q50=0),"",IF(Q50&lt;0.1,1,IF(Q50&lt;1,2,IF(Q50&lt;10,3,IF(Q50&lt;50,4,IF(Q50&gt;=50,5,""))))))</f>
        <v>1</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SOADUL</v>
      </c>
      <c r="Z50" s="280" t="n">
        <f aca="false">IF(ISERROR(MATCH(A50,'liste reference'!$A$8:$A$904,0)),IF(ISERROR(MATCH(A50,'liste reference'!$B$8:$B$904,0)),"",(MATCH(A50,'liste reference'!$B$8:$B$904,0))),(MATCH(A50,'liste reference'!$A$8:$A$904,0)))</f>
        <v>824</v>
      </c>
      <c r="AA50" s="491"/>
      <c r="AB50" s="492"/>
      <c r="AC50" s="492"/>
      <c r="BB50" s="280" t="n">
        <f aca="false">IF(A50="","",1)</f>
        <v>1</v>
      </c>
    </row>
    <row r="51" customFormat="false" ht="12.75" hidden="false" customHeight="false" outlineLevel="0" collapsed="false">
      <c r="A51" s="493" t="s">
        <v>2684</v>
      </c>
      <c r="B51" s="494" t="n">
        <v>0.15</v>
      </c>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0.15</v>
      </c>
      <c r="G51" s="479" t="str">
        <f aca="false">IF(A51="","",IF(ISERROR(VLOOKUP($A51,'liste reference'!$A$7:$P$904,13,0)),IF(ISERROR(VLOOKUP($A51,'liste reference'!$B$7:$P$904,12,0)),"    -",VLOOKUP($A51,'liste reference'!$B$7:$P$904,12,0)),VLOOKUP($A51,'liste reference'!$A$7:$P$904,13,0)))</f>
        <v>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Paspalum distichum</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No</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newcod</v>
      </c>
      <c r="Z51" s="280" t="str">
        <f aca="false">IF(ISERROR(MATCH(A51,'liste reference'!$A$8:$A$904,0)),IF(ISERROR(MATCH(A51,'liste reference'!$B$8:$B$904,0)),"",(MATCH(A51,'liste reference'!$B$8:$B$904,0))),(MATCH(A51,'liste reference'!$A$8:$A$904,0)))</f>
        <v/>
      </c>
      <c r="AA51" s="491"/>
      <c r="AB51" s="492" t="s">
        <v>2685</v>
      </c>
      <c r="AC51" s="492"/>
      <c r="BB51" s="280" t="n">
        <f aca="false">IF(A51="","",1)</f>
        <v>1</v>
      </c>
    </row>
    <row r="52" customFormat="false" ht="12.75" hidden="false" customHeight="false" outlineLevel="0" collapsed="false">
      <c r="A52" s="493" t="s">
        <v>2684</v>
      </c>
      <c r="B52" s="494" t="n">
        <v>0.1</v>
      </c>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0.1</v>
      </c>
      <c r="G52" s="479" t="str">
        <f aca="false">IF(A52="","",IF(ISERROR(VLOOKUP($A52,'liste reference'!$A$7:$P$904,13,0)),IF(ISERROR(VLOOKUP($A52,'liste reference'!$B$7:$P$904,12,0)),"    -",VLOOKUP($A52,'liste reference'!$B$7:$P$904,12,0)),VLOOKUP($A52,'liste reference'!$A$7:$P$904,13,0)))</f>
        <v>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Paspalum dilatatum</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No</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newcod</v>
      </c>
      <c r="Z52" s="280" t="str">
        <f aca="false">IF(ISERROR(MATCH(A52,'liste reference'!$A$8:$A$904,0)),IF(ISERROR(MATCH(A52,'liste reference'!$B$8:$B$904,0)),"",(MATCH(A52,'liste reference'!$B$8:$B$904,0))),(MATCH(A52,'liste reference'!$A$8:$A$904,0)))</f>
        <v/>
      </c>
      <c r="AA52" s="491"/>
      <c r="AB52" s="492" t="s">
        <v>2344</v>
      </c>
      <c r="AC52" s="492"/>
      <c r="BB52" s="280" t="n">
        <f aca="false">IF(A52="","",1)</f>
        <v>1</v>
      </c>
    </row>
    <row r="53" customFormat="false" ht="12.75" hidden="false" customHeight="false" outlineLevel="0" collapsed="false">
      <c r="A53" s="493" t="s">
        <v>2684</v>
      </c>
      <c r="B53" s="494" t="n">
        <v>0.005</v>
      </c>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0.005</v>
      </c>
      <c r="G53" s="479" t="str">
        <f aca="false">IF(A53="","",IF(ISERROR(VLOOKUP($A53,'liste reference'!$A$7:$P$904,13,0)),IF(ISERROR(VLOOKUP($A53,'liste reference'!$B$7:$P$904,12,0)),"    -",VLOOKUP($A53,'liste reference'!$B$7:$P$904,12,0)),VLOOKUP($A53,'liste reference'!$A$7:$P$904,13,0)))</f>
        <v>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Bidens frondosa</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No</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newcod</v>
      </c>
      <c r="Z53" s="280" t="str">
        <f aca="false">IF(ISERROR(MATCH(A53,'liste reference'!$A$8:$A$904,0)),IF(ISERROR(MATCH(A53,'liste reference'!$B$8:$B$904,0)),"",(MATCH(A53,'liste reference'!$B$8:$B$904,0))),(MATCH(A53,'liste reference'!$A$8:$A$904,0)))</f>
        <v/>
      </c>
      <c r="AA53" s="491"/>
      <c r="AB53" s="492" t="s">
        <v>2686</v>
      </c>
      <c r="AC53" s="492"/>
      <c r="BB53" s="280" t="n">
        <f aca="false">IF(A53="","",1)</f>
        <v>1</v>
      </c>
    </row>
    <row r="54" customFormat="false" ht="12.75" hidden="false" customHeight="false" outlineLevel="0" collapsed="false">
      <c r="A54" s="493" t="s">
        <v>2684</v>
      </c>
      <c r="B54" s="494" t="n">
        <v>0.005</v>
      </c>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0.005</v>
      </c>
      <c r="G54" s="479" t="str">
        <f aca="false">IF(A54="","",IF(ISERROR(VLOOKUP($A54,'liste reference'!$A$7:$P$904,13,0)),IF(ISERROR(VLOOKUP($A54,'liste reference'!$B$7:$P$904,12,0)),"    -",VLOOKUP($A54,'liste reference'!$B$7:$P$904,12,0)),VLOOKUP($A54,'liste reference'!$A$7:$P$904,13,0)))</f>
        <v>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Leersia oryzoides</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No</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newcod</v>
      </c>
      <c r="Z54" s="280" t="str">
        <f aca="false">IF(ISERROR(MATCH(A54,'liste reference'!$A$8:$A$904,0)),IF(ISERROR(MATCH(A54,'liste reference'!$B$8:$B$904,0)),"",(MATCH(A54,'liste reference'!$B$8:$B$904,0))),(MATCH(A54,'liste reference'!$A$8:$A$904,0)))</f>
        <v/>
      </c>
      <c r="AA54" s="491"/>
      <c r="AB54" s="492" t="s">
        <v>2319</v>
      </c>
      <c r="AC54" s="492"/>
      <c r="BB54" s="280" t="n">
        <f aca="false">IF(A54="","",1)</f>
        <v>1</v>
      </c>
    </row>
    <row r="55" customFormat="false" ht="12.75" hidden="false" customHeight="false" outlineLevel="0" collapsed="false">
      <c r="A55" s="493" t="s">
        <v>2684</v>
      </c>
      <c r="B55" s="494" t="n">
        <v>0.005</v>
      </c>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0.005</v>
      </c>
      <c r="G55" s="479" t="str">
        <f aca="false">IF(A55="","",IF(ISERROR(VLOOKUP($A55,'liste reference'!$A$7:$P$904,13,0)),IF(ISERROR(VLOOKUP($A55,'liste reference'!$B$7:$P$904,12,0)),"    -",VLOOKUP($A55,'liste reference'!$B$7:$P$904,12,0)),VLOOKUP($A55,'liste reference'!$A$7:$P$904,13,0)))</f>
        <v>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Polysiphonia sp.</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No</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newcod</v>
      </c>
      <c r="Z55" s="280" t="str">
        <f aca="false">IF(ISERROR(MATCH(A55,'liste reference'!$A$8:$A$904,0)),IF(ISERROR(MATCH(A55,'liste reference'!$B$8:$B$904,0)),"",(MATCH(A55,'liste reference'!$B$8:$B$904,0))),(MATCH(A55,'liste reference'!$A$8:$A$904,0)))</f>
        <v/>
      </c>
      <c r="AA55" s="491"/>
      <c r="AB55" s="492" t="s">
        <v>2687</v>
      </c>
      <c r="AC55" s="492"/>
      <c r="BB55" s="280" t="n">
        <f aca="false">IF(A55="","",1)</f>
        <v>1</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IF(D56="",0,VLOOKUP(D56,D$21:D55,1,0))</f>
        <v>0</v>
      </c>
      <c r="F56" s="501"/>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X56" s="504"/>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2"/>
      <c r="M60" s="502"/>
      <c r="N60" s="502"/>
      <c r="O60" s="484"/>
      <c r="P60" s="503"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Siagne</v>
      </c>
      <c r="B84" s="529" t="str">
        <f aca="false">C3</f>
        <v>Mandelieu La Napoule</v>
      </c>
      <c r="C84" s="530" t="n">
        <f aca="false">A4</f>
        <v>41505</v>
      </c>
      <c r="D84" s="531" t="n">
        <f aca="false">IF(ISERROR(SUM($T$23:$T$82)/SUM($U$23:$U$82)),"",SUM($T$23:$T$82)/SUM($U$23:$U$82))</f>
        <v>7.63636363636364</v>
      </c>
      <c r="E84" s="532" t="n">
        <f aca="false">N13</f>
        <v>33</v>
      </c>
      <c r="F84" s="529" t="n">
        <f aca="false">N14</f>
        <v>28</v>
      </c>
      <c r="G84" s="529" t="n">
        <f aca="false">N15</f>
        <v>11</v>
      </c>
      <c r="H84" s="529" t="n">
        <f aca="false">N16</f>
        <v>8</v>
      </c>
      <c r="I84" s="529" t="n">
        <f aca="false">N17</f>
        <v>2</v>
      </c>
      <c r="J84" s="533" t="n">
        <f aca="false">N8</f>
        <v>6.39285714285714</v>
      </c>
      <c r="K84" s="531" t="n">
        <f aca="false">N9</f>
        <v>4.34527071090173</v>
      </c>
      <c r="L84" s="532" t="n">
        <f aca="false">N10</f>
        <v>0</v>
      </c>
      <c r="M84" s="532" t="n">
        <f aca="false">N11</f>
        <v>13</v>
      </c>
      <c r="N84" s="531" t="n">
        <f aca="false">O8</f>
        <v>1.17857142857143</v>
      </c>
      <c r="O84" s="531" t="n">
        <f aca="false">O9</f>
        <v>0.888561093187481</v>
      </c>
      <c r="P84" s="532" t="n">
        <f aca="false">O10</f>
        <v>0</v>
      </c>
      <c r="Q84" s="532" t="n">
        <f aca="false">O11</f>
        <v>3</v>
      </c>
      <c r="R84" s="532" t="n">
        <f aca="false">F21</f>
        <v>19.43</v>
      </c>
      <c r="S84" s="532" t="n">
        <f aca="false">K11</f>
        <v>0</v>
      </c>
      <c r="T84" s="532" t="n">
        <f aca="false">K12</f>
        <v>9</v>
      </c>
      <c r="U84" s="532" t="n">
        <f aca="false">K13</f>
        <v>2</v>
      </c>
      <c r="V84" s="534" t="n">
        <f aca="false">K14</f>
        <v>0</v>
      </c>
      <c r="W84" s="535" t="n">
        <f aca="false">K15</f>
        <v>17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30</v>
      </c>
      <c r="T87" s="280"/>
      <c r="U87" s="280"/>
      <c r="V87" s="280"/>
    </row>
    <row r="88" customFormat="false" ht="12.75" hidden="true" customHeight="false" outlineLevel="0" collapsed="false">
      <c r="P88" s="280"/>
      <c r="Q88" s="280" t="s">
        <v>2691</v>
      </c>
      <c r="R88" s="280"/>
      <c r="S88" s="488" t="n">
        <f aca="false">VLOOKUP((S87),($S$23:$U$82),2,0)</f>
        <v>30</v>
      </c>
      <c r="T88" s="280"/>
      <c r="U88" s="280"/>
      <c r="V88" s="280"/>
    </row>
    <row r="89" customFormat="false" ht="12.75" hidden="true" customHeight="false" outlineLevel="0" collapsed="false">
      <c r="Q89" s="280" t="s">
        <v>2692</v>
      </c>
      <c r="R89" s="280"/>
      <c r="S89" s="488" t="n">
        <f aca="false">VLOOKUP((S87),($S$23:$U$82),3,0)</f>
        <v>3</v>
      </c>
      <c r="T89" s="280"/>
    </row>
    <row r="90" customFormat="false" ht="12.75" hidden="false" customHeight="false" outlineLevel="0" collapsed="false">
      <c r="Q90" s="280" t="s">
        <v>2693</v>
      </c>
      <c r="R90" s="280"/>
      <c r="S90" s="538" t="n">
        <f aca="false">IF(ISERROR(SUM($T$23:$T$82)/SUM($U$23:$U$82)),"",(SUM($T$23:$T$82)-S88)/(SUM($U$23:$U$82)-S89))</f>
        <v>7.5</v>
      </c>
      <c r="T90" s="280"/>
    </row>
    <row r="91" customFormat="false" ht="12.75" hidden="false" customHeight="false" outlineLevel="0" collapsed="false">
      <c r="Q91" s="487" t="s">
        <v>2694</v>
      </c>
      <c r="R91" s="487"/>
      <c r="S91" s="487" t="str">
        <f aca="false">INDEX('liste reference'!$A$8:$A$904,$T$91)</f>
        <v>MELSPX</v>
      </c>
      <c r="T91" s="280" t="n">
        <f aca="false">IF(ISERROR(MATCH($S$93,'liste reference'!$A$8:$A$904,0)),MATCH($S$93,'liste reference'!$B$8:$B$904,0),(MATCH($S$93,'liste reference'!$A$8:$A$904,0)))</f>
        <v>36</v>
      </c>
      <c r="U91" s="527"/>
    </row>
    <row r="92" customFormat="false" ht="12.75" hidden="false" customHeight="false" outlineLevel="0" collapsed="false">
      <c r="Q92" s="280" t="s">
        <v>2695</v>
      </c>
      <c r="R92" s="280"/>
      <c r="S92" s="280" t="n">
        <f aca="false">MATCH(S87,$S$23:$S$82,0)</f>
        <v>5</v>
      </c>
      <c r="T92" s="280"/>
    </row>
    <row r="93" customFormat="false" ht="12.75" hidden="false" customHeight="false" outlineLevel="0" collapsed="false">
      <c r="Q93" s="487" t="s">
        <v>2696</v>
      </c>
      <c r="R93" s="280"/>
      <c r="S93" s="487" t="str">
        <f aca="false">INDEX($A$23:$A$82,$S$92)</f>
        <v>MELSPX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4"/>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2"/>
      <c r="M59" s="502"/>
      <c r="N59" s="502"/>
      <c r="O59" s="484"/>
      <c r="P59" s="503"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2"/>
      <c r="M60" s="502"/>
      <c r="N60" s="502"/>
      <c r="O60" s="484"/>
      <c r="P60" s="503"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2712</v>
      </c>
      <c r="G18" s="577"/>
      <c r="H18" s="576" t="s">
        <v>2712</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2624</v>
      </c>
      <c r="G23" s="577"/>
      <c r="H23" s="576" t="s">
        <v>2624</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2722</v>
      </c>
    </row>
    <row r="37" customFormat="false" ht="15" hidden="false" customHeight="false" outlineLevel="0" collapsed="false">
      <c r="A37" s="565" t="s">
        <v>2142</v>
      </c>
      <c r="B37" s="566" t="s">
        <v>2723</v>
      </c>
      <c r="C37" s="568"/>
      <c r="D37" s="569"/>
      <c r="F37" s="585" t="s">
        <v>2724</v>
      </c>
    </row>
    <row r="38" customFormat="false" ht="15" hidden="false" customHeight="false" outlineLevel="0" collapsed="false">
      <c r="A38" s="565" t="s">
        <v>2145</v>
      </c>
      <c r="B38" s="566" t="s">
        <v>2146</v>
      </c>
      <c r="C38" s="568"/>
      <c r="D38" s="569"/>
      <c r="F38" s="585" t="s">
        <v>2637</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2014-05-20T15:24:06Z</dcterms:modified>
  <cp:revision>0</cp:revision>
  <dc:subject/>
  <dc:title>Feuille d'aide au calcul de l'IBMR</dc:title>
</cp:coreProperties>
</file>