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Esteron-Gilett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'Esteron-Gilette'!$A$1:$O$82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<sst xmlns="http://schemas.openxmlformats.org/spreadsheetml/2006/main" count="209" uniqueCount="105">
  <si>
    <t>Relevés floristiques aquatiques - IBMR</t>
  </si>
  <si>
    <t>GIS Macrophytes - juillet 2006</t>
  </si>
  <si>
    <t>Asconit</t>
  </si>
  <si>
    <t>AFA</t>
  </si>
  <si>
    <t>conforme AFNOR T90-395 oct. 2003</t>
  </si>
  <si>
    <t>Esteron</t>
  </si>
  <si>
    <t>Gilette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</si>
  <si>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</si>
  <si>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</si>
  <si>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</si>
  <si>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</si>
  <si>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</si>
  <si>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</si>
  <si>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</si>
  <si>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</si>
  <si>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</si>
  <si>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radier</t>
  </si>
  <si>
    <t>mouille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</si>
  <si>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</si>
  <si>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</si>
  <si>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</si>
  <si>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</si>
  <si>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</si>
  <si>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</si>
  <si>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</si>
  <si>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</si>
  <si>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</si>
  <si>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</si>
  <si>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</si>
  <si>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</si>
  <si>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</si>
  <si>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</si>
  <si>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</si>
  <si>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</si>
  <si>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</si>
  <si>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</si>
  <si>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</si>
  <si>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</si>
  <si>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</si>
  <si>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</si>
  <si>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</si>
  <si>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</si>
  <si>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</si>
  <si>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</si>
  <si>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</si>
  <si>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</si>
  <si>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</si>
  <si>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</si>
  <si>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</si>
  <si>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</si>
  <si>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</si>
  <si>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</si>
  <si>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</si>
  <si>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</si>
  <si>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</si>
  <si>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</si>
  <si>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</si>
  <si>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</si>
  <si>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</si>
  <si>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</si>
  <si>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</si>
  <si>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</si>
  <si>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</si>
  <si>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</si>
  <si>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</si>
  <si>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</si>
  <si>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</si>
  <si>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</si>
  <si>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</si>
  <si>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</si>
  <si>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</si>
  <si>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</si>
  <si>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</si>
  <si>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</si>
  <si>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CHA.SPX</t>
  </si>
  <si>
    <t>ULO.SPX</t>
  </si>
  <si>
    <t>VAU.SPX</t>
  </si>
  <si>
    <t>NOS.SPX</t>
  </si>
  <si>
    <t>LEA.SPX</t>
  </si>
  <si>
    <t>SPI.SPX</t>
  </si>
  <si>
    <t>OSC.SPX</t>
  </si>
  <si>
    <t>PEL.END</t>
  </si>
  <si>
    <t>FIS.CRA</t>
  </si>
  <si>
    <t>FON.ANT</t>
  </si>
  <si>
    <t>CRA.COM</t>
  </si>
  <si>
    <t>CIN.AQU</t>
  </si>
  <si>
    <t>CIN.MUC</t>
  </si>
  <si>
    <t>JUG.ATR</t>
  </si>
  <si>
    <t>EQU.PAL</t>
  </si>
  <si>
    <t>MEN.AQU</t>
  </si>
  <si>
    <t>JUN.ART</t>
  </si>
  <si>
    <t>API.NOD</t>
  </si>
  <si>
    <t>LYC.EUR</t>
  </si>
  <si>
    <t>AGR.STO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</si>
  <si>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</si>
  <si>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</si>
  <si>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</si>
  <si>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</si>
  <si>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</si>
  <si>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</si>
  <si>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</si>
  <si>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</si>
  <si>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</si>
  <si>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</si>
  <si>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06212600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</si>
</sst>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26" borderId="90" xfId="0" applyFont="1" applyFill="1" applyBorder="1" applyAlignment="1" applyProtection="1">
      <alignment horizontal="center" vertical="top"/>
      <protection hidden="1"/>
    </xf>
    <xf numFmtId="0" fontId="33" fillId="26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8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1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B45" sqref="B45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104</v>
      </c>
      <c r="L3" s="27"/>
      <c r="M3" s="28" t="s">
        <v>7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40023</v>
      </c>
      <c r="B4" s="32"/>
      <c r="C4" s="33"/>
      <c r="D4" s="34"/>
      <c r="E4" s="34"/>
      <c r="F4" s="33"/>
      <c r="G4" s="33"/>
      <c r="H4" s="34"/>
      <c r="I4" s="35" t="s">
        <v>8</v>
      </c>
      <c r="J4" s="36"/>
      <c r="K4" s="36"/>
      <c r="L4" s="37"/>
      <c r="M4" s="37"/>
      <c r="N4" s="38" t="s">
        <v>9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10</v>
      </c>
      <c r="C5" s="43" t="s">
        <v>11</v>
      </c>
      <c r="D5" s="44"/>
      <c r="E5" s="44"/>
      <c r="F5" s="45" t="s">
        <v>12</v>
      </c>
      <c r="G5" s="46"/>
      <c r="H5" s="44"/>
      <c r="I5" s="47"/>
      <c r="J5" s="48"/>
      <c r="K5" s="49" t="s">
        <v>13</v>
      </c>
      <c r="L5" s="50">
        <v>12.294117647058824</v>
      </c>
      <c r="M5" s="51"/>
      <c r="N5" s="52" t="s">
        <v>14</v>
      </c>
      <c r="O5" s="53">
        <v>12.32258064516129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15</v>
      </c>
      <c r="B6" s="55" t="s">
        <v>16</v>
      </c>
      <c r="C6" s="56" t="s">
        <v>17</v>
      </c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>
        <v>85</v>
      </c>
      <c r="C7" s="64">
        <v>15</v>
      </c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24</v>
      </c>
      <c r="B8" s="255"/>
      <c r="C8" s="255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11.166666666666666</v>
      </c>
      <c r="O8" s="80">
        <f>AVERAGE(J23:J82)</f>
        <v>1.3333333333333333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3.417085101111076</v>
      </c>
      <c r="O9" s="80">
        <f>STDEV(J23:J82)</f>
        <v>0.5940885257860046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4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>
        <v>0</v>
      </c>
      <c r="C11" s="106">
        <v>0</v>
      </c>
      <c r="D11" s="107"/>
      <c r="E11" s="107"/>
      <c r="F11" s="108">
        <f t="shared" si="0"/>
        <v>0</v>
      </c>
      <c r="G11" s="109"/>
      <c r="H11" s="65"/>
      <c r="I11" s="256" t="s">
        <v>33</v>
      </c>
      <c r="J11" s="257"/>
      <c r="K11" s="110">
        <f>COUNTIF($G$23:$G$82,"=HET")</f>
        <v>0</v>
      </c>
      <c r="L11" s="111"/>
      <c r="M11" s="101" t="s">
        <v>34</v>
      </c>
      <c r="N11" s="102">
        <f>MAX(I23:I82)</f>
        <v>19</v>
      </c>
      <c r="O11" s="103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>
        <v>2.41</v>
      </c>
      <c r="C12" s="114">
        <v>0.02</v>
      </c>
      <c r="D12" s="107"/>
      <c r="E12" s="107"/>
      <c r="F12" s="108">
        <f t="shared" si="0"/>
        <v>2.0515000000000003</v>
      </c>
      <c r="G12" s="115"/>
      <c r="H12" s="65"/>
      <c r="I12" s="258" t="s">
        <v>36</v>
      </c>
      <c r="J12" s="259"/>
      <c r="K12" s="110">
        <f>COUNTIF($G$23:$G$82,"=ALG")</f>
        <v>8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>
        <v>2.41</v>
      </c>
      <c r="C13" s="114">
        <v>0</v>
      </c>
      <c r="D13" s="107"/>
      <c r="E13" s="107"/>
      <c r="F13" s="108">
        <f t="shared" si="0"/>
        <v>2.0485</v>
      </c>
      <c r="G13" s="115"/>
      <c r="H13" s="65"/>
      <c r="I13" s="260" t="s">
        <v>38</v>
      </c>
      <c r="J13" s="259"/>
      <c r="K13" s="110">
        <f>COUNTIF($G$23:$G$82,"=BRm")+COUNTIF($G$23:$G$82,"=BRh")</f>
        <v>8</v>
      </c>
      <c r="L13" s="111"/>
      <c r="M13" s="122" t="s">
        <v>39</v>
      </c>
      <c r="N13" s="123">
        <f>COUNTIF(F23:F82,"&gt;0")</f>
        <v>22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>
        <v>0.01</v>
      </c>
      <c r="C14" s="114">
        <v>0</v>
      </c>
      <c r="D14" s="107"/>
      <c r="E14" s="107"/>
      <c r="F14" s="108">
        <f t="shared" si="0"/>
        <v>0.0085</v>
      </c>
      <c r="G14" s="115"/>
      <c r="H14" s="65"/>
      <c r="I14" s="260" t="s">
        <v>41</v>
      </c>
      <c r="J14" s="259"/>
      <c r="K14" s="110">
        <f>COUNTIF($G$23:$G$82,"=PTE")</f>
        <v>1</v>
      </c>
      <c r="L14" s="111"/>
      <c r="M14" s="125" t="s">
        <v>42</v>
      </c>
      <c r="N14" s="126">
        <f>COUNTIF($I$23:$I$82,"&gt;-1")</f>
        <v>18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>
        <v>0.06</v>
      </c>
      <c r="C15" s="130">
        <v>0</v>
      </c>
      <c r="D15" s="107"/>
      <c r="E15" s="107"/>
      <c r="F15" s="108">
        <f t="shared" si="0"/>
        <v>0.051</v>
      </c>
      <c r="G15" s="115"/>
      <c r="H15" s="65"/>
      <c r="I15" s="260" t="s">
        <v>44</v>
      </c>
      <c r="J15" s="259"/>
      <c r="K15" s="110">
        <f>(COUNTIF($G$23:$G$82,"=PHy"))+(COUNTIF($G$23:$G$82,"=PHe"))+(COUNTIF($G$23:$G$82,"=PHg"))+(COUNTIF($G$23:$G$82,"=PHx"))</f>
        <v>5</v>
      </c>
      <c r="L15" s="111"/>
      <c r="M15" s="131" t="s">
        <v>45</v>
      </c>
      <c r="N15" s="132">
        <f>COUNTIF(J23:J82,"=1")</f>
        <v>13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>
        <v>0</v>
      </c>
      <c r="C16" s="106">
        <v>0</v>
      </c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4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>
        <v>4.82</v>
      </c>
      <c r="C17" s="114">
        <v>0.02</v>
      </c>
      <c r="D17" s="107"/>
      <c r="E17" s="107"/>
      <c r="F17" s="136"/>
      <c r="G17" s="108">
        <f t="shared" si="0"/>
        <v>4.1000000000000005</v>
      </c>
      <c r="H17" s="65"/>
      <c r="I17" s="260"/>
      <c r="J17" s="259"/>
      <c r="K17" s="117"/>
      <c r="L17" s="111"/>
      <c r="M17" s="131" t="s">
        <v>49</v>
      </c>
      <c r="N17" s="132">
        <f>COUNTIF(J23:J82,"=3")</f>
        <v>1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>
        <v>0.07</v>
      </c>
      <c r="C18" s="140">
        <v>0</v>
      </c>
      <c r="D18" s="107"/>
      <c r="E18" s="141" t="s">
        <v>51</v>
      </c>
      <c r="F18" s="136"/>
      <c r="G18" s="108">
        <f t="shared" si="0"/>
        <v>0.059500000000000004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4.1595</v>
      </c>
      <c r="G19" s="149">
        <f>SUM(G16:G18)</f>
        <v>4.1595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103</v>
      </c>
      <c r="B20" s="157">
        <f>SUM(B23:B82)</f>
        <v>4.879999999999997</v>
      </c>
      <c r="C20" s="158">
        <f>SUM(C23:C82)</f>
        <v>0.02</v>
      </c>
      <c r="D20" s="159"/>
      <c r="E20" s="160" t="s">
        <v>51</v>
      </c>
      <c r="F20" s="161">
        <f>($B20*$B$7+$C20*$C$7)/100</f>
        <v>4.150999999999998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4.147999999999998</v>
      </c>
      <c r="C21" s="170">
        <f>C20*C7/100</f>
        <v>0.003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4.150999999999998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61" t="s">
        <v>62</v>
      </c>
      <c r="L22" s="261"/>
      <c r="M22" s="261"/>
      <c r="N22" s="261"/>
      <c r="O22" s="262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>
        <v>0.59</v>
      </c>
      <c r="C23" s="193">
        <v>0.01</v>
      </c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194" t="e">
        <f>IF(D23="",,VLOOKUP(D23,D$22:D22,1,0))</f>
        <v>#N/A</v>
      </c>
      <c r="F23" s="195">
        <f aca="true" t="shared" si="1" ref="F23:F82">($B23*$B$7+$C23*$C$7)/100</f>
        <v>0.503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01"/>
      <c r="M23" s="201"/>
      <c r="N23" s="201"/>
      <c r="O23" s="202"/>
      <c r="P23" s="203">
        <f aca="true" t="shared" si="2" ref="P23:P82">IF(ISTEXT(H23),"",(B23*$B$7/100)+(C23*$C$7/100))</f>
        <v>0.5029999999999999</v>
      </c>
      <c r="Q23" s="204">
        <f>IF(OR(ISTEXT(H23),P23=0),"",IF(P23&lt;0.1,1,IF(P23&lt;1,2,IF(P23&lt;10,3,IF(P23&lt;50,4,IF(P23&gt;=50,5,""))))))</f>
        <v>2</v>
      </c>
      <c r="R23" s="204">
        <f aca="true" t="shared" si="3" ref="R23:R82">IF(ISERROR(Q23*I23),0,Q23*I23)</f>
        <v>12</v>
      </c>
      <c r="S23" s="204">
        <f aca="true" t="shared" si="4" ref="S23:S82">IF(ISERROR(Q23*I23*J23),0,Q23*I23*J23)</f>
        <v>12</v>
      </c>
      <c r="T23" s="204">
        <f aca="true" t="shared" si="5" ref="T23:T82">IF(ISERROR(Q23*J23),0,Q23*J23)</f>
        <v>2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74</v>
      </c>
      <c r="B24" s="211">
        <v>0.01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Chara sp. </v>
      </c>
      <c r="E24" s="213" t="e">
        <f>IF(D24="",,VLOOKUP(D24,D$22:D23,1,0))</f>
        <v>#N/A</v>
      </c>
      <c r="F24" s="214">
        <f t="shared" si="1"/>
        <v>0.0085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Chara sp. </v>
      </c>
      <c r="L24" s="218"/>
      <c r="M24" s="218"/>
      <c r="N24" s="218"/>
      <c r="O24" s="202"/>
      <c r="P24" s="203">
        <f t="shared" si="2"/>
        <v>0.0085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0</v>
      </c>
      <c r="S24" s="204">
        <f t="shared" si="4"/>
        <v>0</v>
      </c>
      <c r="T24" s="219">
        <f t="shared" si="5"/>
        <v>0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CHA.SPX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19</v>
      </c>
      <c r="Z24" s="208"/>
      <c r="AA24" s="209"/>
      <c r="BB24" s="7">
        <f t="shared" si="7"/>
        <v>1</v>
      </c>
    </row>
    <row r="25" spans="1:54" ht="12.75">
      <c r="A25" s="210" t="s">
        <v>75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Ulothrix sp.       </v>
      </c>
      <c r="E25" s="213" t="e">
        <f>IF(D25="",,VLOOKUP(D25,D$22:D24,1,0))</f>
        <v>#N/A</v>
      </c>
      <c r="F25" s="214">
        <f t="shared" si="1"/>
        <v>0.0085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Ulothrix sp.       </v>
      </c>
      <c r="L25" s="218"/>
      <c r="M25" s="218"/>
      <c r="N25" s="218"/>
      <c r="O25" s="202"/>
      <c r="P25" s="203">
        <f t="shared" si="2"/>
        <v>0.0085</v>
      </c>
      <c r="Q25" s="204">
        <f t="shared" si="8"/>
        <v>1</v>
      </c>
      <c r="R25" s="204">
        <f t="shared" si="3"/>
        <v>10</v>
      </c>
      <c r="S25" s="204">
        <f t="shared" si="4"/>
        <v>10</v>
      </c>
      <c r="T25" s="219">
        <f t="shared" si="5"/>
        <v>1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ULO.SPX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82</v>
      </c>
      <c r="Z25" s="208"/>
      <c r="AA25" s="209"/>
      <c r="BB25" s="7">
        <f t="shared" si="7"/>
        <v>1</v>
      </c>
    </row>
    <row r="26" spans="1:54" ht="12.75">
      <c r="A26" s="210" t="s">
        <v>76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Vaucheria sp.</v>
      </c>
      <c r="E26" s="213" t="e">
        <f>IF(D26="",,VLOOKUP(D26,D$22:D25,1,0))</f>
        <v>#N/A</v>
      </c>
      <c r="F26" s="214">
        <f t="shared" si="1"/>
        <v>0.0085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4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Vaucheria sp.</v>
      </c>
      <c r="L26" s="218"/>
      <c r="M26" s="218"/>
      <c r="N26" s="218"/>
      <c r="O26" s="202"/>
      <c r="P26" s="203">
        <f>IF(ISTEXT(H26),"",(B26*$B$7/100)+(C26*$C$7/100))</f>
        <v>0.0085</v>
      </c>
      <c r="Q26" s="204">
        <f t="shared" si="8"/>
        <v>1</v>
      </c>
      <c r="R26" s="204">
        <f>IF(ISERROR(Q26*I26),0,Q26*I26)</f>
        <v>4</v>
      </c>
      <c r="S26" s="204">
        <f>IF(ISERROR(Q26*I26*J26),0,Q26*I26*J26)</f>
        <v>4</v>
      </c>
      <c r="T26" s="219">
        <f>IF(ISERROR(Q26*J26),0,Q26*J26)</f>
        <v>1</v>
      </c>
      <c r="U26" s="205">
        <f t="shared" si="6"/>
      </c>
      <c r="V26" s="206" t="s">
        <v>52</v>
      </c>
      <c r="X26" s="207" t="str">
        <f>IF(A26="new.cod","NEW.COD",IF(AND((Y26=""),ISTEXT(A26)),A26,IF(Y26="","",INDEX('[1]liste reference'!$A$7:$A$906,Y26))))</f>
        <v>VAU.SPX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83</v>
      </c>
      <c r="Z26" s="208"/>
      <c r="AA26" s="209"/>
      <c r="BB26" s="7">
        <f t="shared" si="7"/>
        <v>1</v>
      </c>
    </row>
    <row r="27" spans="1:54" ht="12.75">
      <c r="A27" s="210" t="s">
        <v>77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Nostoc sp.       </v>
      </c>
      <c r="E27" s="213" t="e">
        <f>IF(D27="",,VLOOKUP(D27,D$22:D26,1,0))</f>
        <v>#N/A</v>
      </c>
      <c r="F27" s="214">
        <f t="shared" si="1"/>
        <v>0.0085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9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Nostoc sp.       </v>
      </c>
      <c r="L27" s="218"/>
      <c r="M27" s="218"/>
      <c r="N27" s="218"/>
      <c r="O27" s="202"/>
      <c r="P27" s="203">
        <f t="shared" si="2"/>
        <v>0.0085</v>
      </c>
      <c r="Q27" s="204">
        <f t="shared" si="8"/>
        <v>1</v>
      </c>
      <c r="R27" s="204">
        <f t="shared" si="3"/>
        <v>9</v>
      </c>
      <c r="S27" s="204">
        <f t="shared" si="4"/>
        <v>9</v>
      </c>
      <c r="T27" s="219">
        <f t="shared" si="5"/>
        <v>1</v>
      </c>
      <c r="U27" s="205">
        <f t="shared" si="6"/>
      </c>
      <c r="V27" s="206" t="s">
        <v>52</v>
      </c>
      <c r="X27" s="207" t="str">
        <f>IF(A27="new.cod","NEW.COD",IF(AND((Y27=""),ISTEXT(A27)),A27,IF(Y27="","",INDEX('[1]liste reference'!$A$7:$A$906,Y27))))</f>
        <v>NOS.SPX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55</v>
      </c>
      <c r="Z27" s="208"/>
      <c r="AA27" s="209"/>
      <c r="BB27" s="7">
        <f t="shared" si="7"/>
        <v>1</v>
      </c>
    </row>
    <row r="28" spans="1:54" ht="12.75">
      <c r="A28" s="210" t="s">
        <v>78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Lemanea gr. fluviatilis</v>
      </c>
      <c r="E28" s="213" t="e">
        <f>IF(D28="",,VLOOKUP(D28,D$22:D27,1,0))</f>
        <v>#N/A</v>
      </c>
      <c r="F28" s="214">
        <f t="shared" si="1"/>
        <v>0.0085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ALG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2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15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Lemanea gr. fluviatilis</v>
      </c>
      <c r="L28" s="218"/>
      <c r="M28" s="218"/>
      <c r="N28" s="218"/>
      <c r="O28" s="202"/>
      <c r="P28" s="203">
        <f t="shared" si="2"/>
        <v>0.0085</v>
      </c>
      <c r="Q28" s="204">
        <f t="shared" si="8"/>
        <v>1</v>
      </c>
      <c r="R28" s="204">
        <f t="shared" si="3"/>
        <v>15</v>
      </c>
      <c r="S28" s="204">
        <f t="shared" si="4"/>
        <v>30</v>
      </c>
      <c r="T28" s="219">
        <f t="shared" si="5"/>
        <v>2</v>
      </c>
      <c r="U28" s="205">
        <f t="shared" si="6"/>
      </c>
      <c r="V28" s="206" t="s">
        <v>52</v>
      </c>
      <c r="X28" s="207" t="str">
        <f>IF(A28="new.cod","NEW.COD",IF(AND((Y28=""),ISTEXT(A28)),A28,IF(Y28="","",INDEX('[1]liste reference'!$A$7:$A$906,Y28))))</f>
        <v>LEA.SPX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35</v>
      </c>
      <c r="Z28" s="208"/>
      <c r="AA28" s="209"/>
      <c r="BB28" s="7">
        <f t="shared" si="7"/>
        <v>1</v>
      </c>
    </row>
    <row r="29" spans="1:54" ht="12.75">
      <c r="A29" s="210" t="s">
        <v>79</v>
      </c>
      <c r="B29" s="211">
        <v>0.59</v>
      </c>
      <c r="C29" s="212">
        <v>0.01</v>
      </c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Spirogyra sp.       </v>
      </c>
      <c r="E29" s="213" t="e">
        <f>IF(D29="",,VLOOKUP(D29,D$22:D28,1,0))</f>
        <v>#N/A</v>
      </c>
      <c r="F29" s="214">
        <f t="shared" si="1"/>
        <v>0.503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ALG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2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Spirogyra sp.       </v>
      </c>
      <c r="L29" s="218"/>
      <c r="M29" s="218"/>
      <c r="N29" s="218"/>
      <c r="O29" s="202"/>
      <c r="P29" s="203">
        <f>IF(ISTEXT(H29),"",(B29*$B$7/100)+(C29*$C$7/100))</f>
        <v>0.5029999999999999</v>
      </c>
      <c r="Q29" s="204">
        <f t="shared" si="8"/>
        <v>2</v>
      </c>
      <c r="R29" s="204">
        <f>IF(ISERROR(Q29*I29),0,Q29*I29)</f>
        <v>20</v>
      </c>
      <c r="S29" s="204">
        <f>IF(ISERROR(Q29*I29*J29),0,Q29*I29*J29)</f>
        <v>20</v>
      </c>
      <c r="T29" s="219">
        <f>IF(ISERROR(Q29*J29),0,Q29*J29)</f>
        <v>2</v>
      </c>
      <c r="U29" s="205">
        <f t="shared" si="6"/>
      </c>
      <c r="V29" s="206" t="s">
        <v>52</v>
      </c>
      <c r="X29" s="207" t="str">
        <f>IF(A29="new.cod","NEW.COD",IF(AND((Y29=""),ISTEXT(A29)),A29,IF(Y29="","",INDEX('[1]liste reference'!$A$7:$A$906,Y29))))</f>
        <v>SPI.SPX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70</v>
      </c>
      <c r="Z29" s="208"/>
      <c r="AA29" s="209"/>
      <c r="BB29" s="7">
        <f t="shared" si="7"/>
        <v>1</v>
      </c>
    </row>
    <row r="30" spans="1:54" ht="12.75">
      <c r="A30" s="210" t="s">
        <v>80</v>
      </c>
      <c r="B30" s="211">
        <v>1.18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Oscillatoria sp.       </v>
      </c>
      <c r="E30" s="213" t="e">
        <f>IF(D30="",,VLOOKUP(D30,D$22:D29,1,0))</f>
        <v>#N/A</v>
      </c>
      <c r="F30" s="214">
        <f t="shared" si="1"/>
        <v>1.003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ALG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2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11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Oscillatoria sp.       </v>
      </c>
      <c r="L30" s="218"/>
      <c r="M30" s="218"/>
      <c r="N30" s="218"/>
      <c r="O30" s="202"/>
      <c r="P30" s="203">
        <f t="shared" si="2"/>
        <v>1.003</v>
      </c>
      <c r="Q30" s="204">
        <f t="shared" si="8"/>
        <v>3</v>
      </c>
      <c r="R30" s="204">
        <f t="shared" si="3"/>
        <v>33</v>
      </c>
      <c r="S30" s="204">
        <f t="shared" si="4"/>
        <v>33</v>
      </c>
      <c r="T30" s="219">
        <f t="shared" si="5"/>
        <v>3</v>
      </c>
      <c r="U30" s="205">
        <f t="shared" si="6"/>
      </c>
      <c r="V30" s="206" t="s">
        <v>52</v>
      </c>
      <c r="X30" s="207" t="str">
        <f>IF(A30="new.cod","NEW.COD",IF(AND((Y30=""),ISTEXT(A30)),A30,IF(Y30="","",INDEX('[1]liste reference'!$A$7:$A$906,Y30))))</f>
        <v>OSC.SPX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57</v>
      </c>
      <c r="Z30" s="208"/>
      <c r="AA30" s="209"/>
      <c r="BB30" s="7">
        <f t="shared" si="7"/>
        <v>1</v>
      </c>
    </row>
    <row r="31" spans="1:54" ht="12.75">
      <c r="A31" s="210" t="s">
        <v>81</v>
      </c>
      <c r="B31" s="211">
        <v>0.01</v>
      </c>
      <c r="C31" s="212"/>
      <c r="D31" s="213" t="str">
        <f>IF(ISERROR(VLOOKUP($A31,'[1]liste reference'!$A$7:$D$906,2,0)),IF(ISERROR(VLOOKUP($A31,'[1]liste reference'!$B$7:$D$906,1,0)),"",VLOOKUP($A31,'[1]liste reference'!$B$7:$D$906,1,0)),VLOOKUP($A31,'[1]liste reference'!$A$7:$D$906,2,0))</f>
        <v>Pellia endiviifolia</v>
      </c>
      <c r="E31" s="213" t="e">
        <f>IF(D31="",,VLOOKUP(D31,D$21:D30,1,0))</f>
        <v>#N/A</v>
      </c>
      <c r="F31" s="214">
        <f t="shared" si="1"/>
        <v>0.0085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BRh</v>
      </c>
      <c r="H31" s="197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4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Pellia endiviifolia</v>
      </c>
      <c r="L31" s="218"/>
      <c r="M31" s="218"/>
      <c r="N31" s="218"/>
      <c r="O31" s="202"/>
      <c r="P31" s="203">
        <f t="shared" si="2"/>
        <v>0.0085</v>
      </c>
      <c r="Q31" s="204">
        <f t="shared" si="8"/>
        <v>1</v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52</v>
      </c>
      <c r="W31" s="220"/>
      <c r="X31" s="207" t="str">
        <f>IF(A31="new.cod","NEW.COD",IF(AND((Y31=""),ISTEXT(A31)),A31,IF(Y31="","",INDEX('[1]liste reference'!$A$7:$A$906,Y31))))</f>
        <v>PEL.END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121</v>
      </c>
      <c r="Z31" s="208"/>
      <c r="AA31" s="209"/>
      <c r="BB31" s="7">
        <f t="shared" si="7"/>
        <v>1</v>
      </c>
    </row>
    <row r="32" spans="1:54" ht="12.75">
      <c r="A32" s="210" t="s">
        <v>82</v>
      </c>
      <c r="B32" s="211">
        <v>0.01</v>
      </c>
      <c r="C32" s="212"/>
      <c r="D32" s="213" t="str">
        <f>IF(ISERROR(VLOOKUP($A32,'[1]liste reference'!$A$7:$D$906,2,0)),IF(ISERROR(VLOOKUP($A32,'[1]liste reference'!$B$7:$D$906,1,0)),"",VLOOKUP($A32,'[1]liste reference'!$B$7:$D$906,1,0)),VLOOKUP($A32,'[1]liste reference'!$A$7:$D$906,2,0))</f>
        <v>Fissidens crassipes</v>
      </c>
      <c r="E32" s="213" t="e">
        <f>IF(D32="",,VLOOKUP(D32,D$22:D31,1,0))</f>
        <v>#N/A</v>
      </c>
      <c r="F32" s="214">
        <f t="shared" si="1"/>
        <v>0.0085</v>
      </c>
      <c r="G32" s="215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BRm</v>
      </c>
      <c r="H32" s="197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5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12</v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17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Fissidens crassipes</v>
      </c>
      <c r="L32" s="218"/>
      <c r="M32" s="218"/>
      <c r="N32" s="218"/>
      <c r="O32" s="202"/>
      <c r="P32" s="203">
        <f t="shared" si="2"/>
        <v>0.0085</v>
      </c>
      <c r="Q32" s="204">
        <f t="shared" si="8"/>
        <v>1</v>
      </c>
      <c r="R32" s="204">
        <f t="shared" si="3"/>
        <v>12</v>
      </c>
      <c r="S32" s="204">
        <f t="shared" si="4"/>
        <v>24</v>
      </c>
      <c r="T32" s="219">
        <f t="shared" si="5"/>
        <v>2</v>
      </c>
      <c r="U32" s="205">
        <f t="shared" si="6"/>
      </c>
      <c r="V32" s="206" t="s">
        <v>52</v>
      </c>
      <c r="X32" s="207" t="str">
        <f>IF(A32="new.cod","NEW.COD",IF(AND((Y32=""),ISTEXT(A32)),A32,IF(Y32="","",INDEX('[1]liste reference'!$A$7:$A$906,Y32))))</f>
        <v>FIS.CRA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198</v>
      </c>
      <c r="Z32" s="208"/>
      <c r="AA32" s="209"/>
      <c r="BB32" s="7">
        <f t="shared" si="7"/>
        <v>1</v>
      </c>
    </row>
    <row r="33" spans="1:54" ht="12.75">
      <c r="A33" s="210" t="s">
        <v>83</v>
      </c>
      <c r="B33" s="211">
        <v>0.01</v>
      </c>
      <c r="C33" s="212"/>
      <c r="D33" s="213" t="str">
        <f>IF(ISERROR(VLOOKUP($A33,'[1]liste reference'!$A$7:$D$906,2,0)),IF(ISERROR(VLOOKUP($A33,'[1]liste reference'!$B$7:$D$906,1,0)),"",VLOOKUP($A33,'[1]liste reference'!$B$7:$D$906,1,0)),VLOOKUP($A33,'[1]liste reference'!$A$7:$D$906,2,0))</f>
        <v>Fontinalis antipyretica</v>
      </c>
      <c r="E33" s="213" t="e">
        <f>IF(D33="",,VLOOKUP(D33,D$22:D32,1,0))</f>
        <v>#N/A</v>
      </c>
      <c r="F33" s="214">
        <f t="shared" si="1"/>
        <v>0.0085</v>
      </c>
      <c r="G33" s="215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BRm</v>
      </c>
      <c r="H33" s="197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5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10</v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17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Fontinalis antipyretica</v>
      </c>
      <c r="L33" s="221"/>
      <c r="M33" s="221"/>
      <c r="N33" s="221"/>
      <c r="O33" s="222"/>
      <c r="P33" s="203">
        <f t="shared" si="2"/>
        <v>0.0085</v>
      </c>
      <c r="Q33" s="204">
        <f t="shared" si="8"/>
        <v>1</v>
      </c>
      <c r="R33" s="204">
        <f t="shared" si="3"/>
        <v>10</v>
      </c>
      <c r="S33" s="204">
        <f t="shared" si="4"/>
        <v>10</v>
      </c>
      <c r="T33" s="219">
        <f t="shared" si="5"/>
        <v>1</v>
      </c>
      <c r="U33" s="205">
        <f t="shared" si="6"/>
      </c>
      <c r="V33" s="206" t="s">
        <v>52</v>
      </c>
      <c r="X33" s="207" t="str">
        <f>IF(A33="new.cod","NEW.COD",IF(AND((Y33=""),ISTEXT(A33)),A33,IF(Y33="","",INDEX('[1]liste reference'!$A$7:$A$906,Y33))))</f>
        <v>FON.ANT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211</v>
      </c>
      <c r="Z33" s="208"/>
      <c r="AA33" s="209"/>
      <c r="BB33" s="7">
        <f t="shared" si="7"/>
        <v>1</v>
      </c>
    </row>
    <row r="34" spans="1:54" ht="12.75">
      <c r="A34" s="210" t="s">
        <v>14</v>
      </c>
      <c r="B34" s="211">
        <v>1.18</v>
      </c>
      <c r="C34" s="212"/>
      <c r="D34" s="213" t="str">
        <f>IF(ISERROR(VLOOKUP($A34,'[1]liste reference'!$A$7:$D$906,2,0)),IF(ISERROR(VLOOKUP($A34,'[1]liste reference'!$B$7:$D$906,1,0)),"",VLOOKUP($A34,'[1]liste reference'!$B$7:$D$906,1,0)),VLOOKUP($A34,'[1]liste reference'!$A$7:$D$906,2,0))</f>
        <v>Rhynchostegium riparioides (Platyhypnidium rusciforme)</v>
      </c>
      <c r="E34" s="213" t="e">
        <f>IF(D34="",,VLOOKUP(D34,D$22:D33,1,0))</f>
        <v>#N/A</v>
      </c>
      <c r="F34" s="223">
        <f t="shared" si="1"/>
        <v>1.003</v>
      </c>
      <c r="G34" s="215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BRm</v>
      </c>
      <c r="H34" s="197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5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12</v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17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Rhynchostegium riparioides (Platyhypnidium rusciforme)</v>
      </c>
      <c r="L34" s="221"/>
      <c r="M34" s="221"/>
      <c r="N34" s="221"/>
      <c r="O34" s="222"/>
      <c r="P34" s="203">
        <f t="shared" si="2"/>
        <v>1.003</v>
      </c>
      <c r="Q34" s="204">
        <f t="shared" si="8"/>
        <v>3</v>
      </c>
      <c r="R34" s="204">
        <f t="shared" si="3"/>
        <v>36</v>
      </c>
      <c r="S34" s="204">
        <f t="shared" si="4"/>
        <v>36</v>
      </c>
      <c r="T34" s="219">
        <f t="shared" si="5"/>
        <v>3</v>
      </c>
      <c r="U34" s="205">
        <f t="shared" si="6"/>
      </c>
      <c r="V34" s="206" t="s">
        <v>52</v>
      </c>
      <c r="X34" s="207" t="str">
        <f>IF(A34="new.cod","NEW.COD",IF(AND((Y34=""),ISTEXT(A34)),A34,IF(Y34="","",INDEX('[1]liste reference'!$A$7:$A$906,Y34))))</f>
        <v>RHY.RIP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253</v>
      </c>
      <c r="Z34" s="208"/>
      <c r="AA34" s="209"/>
      <c r="BB34" s="7">
        <f t="shared" si="7"/>
        <v>1</v>
      </c>
    </row>
    <row r="35" spans="1:54" ht="12.75">
      <c r="A35" s="210" t="s">
        <v>84</v>
      </c>
      <c r="B35" s="211">
        <v>0.59</v>
      </c>
      <c r="C35" s="212"/>
      <c r="D35" s="213" t="str">
        <f>IF(ISERROR(VLOOKUP($A35,'[1]liste reference'!$A$7:$D$906,2,0)),IF(ISERROR(VLOOKUP($A35,'[1]liste reference'!$B$7:$D$906,1,0)),"",VLOOKUP($A35,'[1]liste reference'!$B$7:$D$906,1,0)),VLOOKUP($A35,'[1]liste reference'!$A$7:$D$906,2,0))</f>
        <v>Cratoneuron commutatum</v>
      </c>
      <c r="E35" s="213" t="e">
        <f>IF(D35="",,VLOOKUP(D35,D$22:D34,1,0))</f>
        <v>#N/A</v>
      </c>
      <c r="F35" s="223">
        <f t="shared" si="1"/>
        <v>0.5015</v>
      </c>
      <c r="G35" s="215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BRm</v>
      </c>
      <c r="H35" s="197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5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15</v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2</v>
      </c>
      <c r="K35" s="217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Cratoneuron commutatum</v>
      </c>
      <c r="L35" s="218"/>
      <c r="M35" s="218"/>
      <c r="N35" s="218"/>
      <c r="O35" s="202"/>
      <c r="P35" s="203">
        <f t="shared" si="2"/>
        <v>0.5015</v>
      </c>
      <c r="Q35" s="204">
        <f t="shared" si="8"/>
        <v>2</v>
      </c>
      <c r="R35" s="204">
        <f t="shared" si="3"/>
        <v>30</v>
      </c>
      <c r="S35" s="204">
        <f t="shared" si="4"/>
        <v>60</v>
      </c>
      <c r="T35" s="219">
        <f t="shared" si="5"/>
        <v>4</v>
      </c>
      <c r="U35" s="205">
        <f t="shared" si="6"/>
      </c>
      <c r="V35" s="206" t="s">
        <v>52</v>
      </c>
      <c r="X35" s="207" t="str">
        <f>IF(A35="new.cod","NEW.COD",IF(AND((Y35=""),ISTEXT(A35)),A35,IF(Y35="","",INDEX('[1]liste reference'!$A$7:$A$906,Y35))))</f>
        <v>CRA.COM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178</v>
      </c>
      <c r="Z35" s="208"/>
      <c r="AA35" s="209"/>
      <c r="BB35" s="7">
        <f t="shared" si="7"/>
        <v>1</v>
      </c>
    </row>
    <row r="36" spans="1:54" ht="12.75">
      <c r="A36" s="210" t="s">
        <v>85</v>
      </c>
      <c r="B36" s="211">
        <v>0.59</v>
      </c>
      <c r="C36" s="212"/>
      <c r="D36" s="213" t="str">
        <f>IF(ISERROR(VLOOKUP($A36,'[1]liste reference'!$A$7:$D$906,2,0)),IF(ISERROR(VLOOKUP($A36,'[1]liste reference'!$B$7:$D$906,1,0)),"",VLOOKUP($A36,'[1]liste reference'!$B$7:$D$906,1,0)),VLOOKUP($A36,'[1]liste reference'!$A$7:$D$906,2,0))</f>
        <v>Cinclidotus aquaticus</v>
      </c>
      <c r="E36" s="213" t="e">
        <f>IF(D36="",,VLOOKUP(D36,D$22:D35,1,0))</f>
        <v>#N/A</v>
      </c>
      <c r="F36" s="223">
        <f t="shared" si="1"/>
        <v>0.5015</v>
      </c>
      <c r="G36" s="215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BRm</v>
      </c>
      <c r="H36" s="197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5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15</v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2</v>
      </c>
      <c r="K36" s="217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Cinclidotus aquaticus</v>
      </c>
      <c r="L36" s="218"/>
      <c r="M36" s="218"/>
      <c r="N36" s="218"/>
      <c r="O36" s="202"/>
      <c r="P36" s="203">
        <f t="shared" si="2"/>
        <v>0.5015</v>
      </c>
      <c r="Q36" s="204">
        <f t="shared" si="8"/>
        <v>2</v>
      </c>
      <c r="R36" s="204">
        <f t="shared" si="3"/>
        <v>30</v>
      </c>
      <c r="S36" s="204">
        <f t="shared" si="4"/>
        <v>60</v>
      </c>
      <c r="T36" s="219">
        <f t="shared" si="5"/>
        <v>4</v>
      </c>
      <c r="U36" s="205">
        <f t="shared" si="6"/>
      </c>
      <c r="V36" s="206" t="s">
        <v>52</v>
      </c>
      <c r="W36" s="206"/>
      <c r="X36" s="207" t="str">
        <f>IF(A36="new.cod","NEW.COD",IF(AND((Y36=""),ISTEXT(A36)),A36,IF(Y36="","",INDEX('[1]liste reference'!$A$7:$A$906,Y36))))</f>
        <v>CIN.AQU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171</v>
      </c>
      <c r="Z36" s="208"/>
      <c r="AA36" s="209"/>
      <c r="BB36" s="7">
        <f t="shared" si="7"/>
        <v>1</v>
      </c>
    </row>
    <row r="37" spans="1:54" ht="12.75">
      <c r="A37" s="210" t="s">
        <v>86</v>
      </c>
      <c r="B37" s="211">
        <v>0.01</v>
      </c>
      <c r="C37" s="212"/>
      <c r="D37" s="213" t="str">
        <f>IF(ISERROR(VLOOKUP($A37,'[1]liste reference'!$A$7:$D$906,2,0)),IF(ISERROR(VLOOKUP($A37,'[1]liste reference'!$B$7:$D$906,1,0)),"",VLOOKUP($A37,'[1]liste reference'!$B$7:$D$906,1,0)),VLOOKUP($A37,'[1]liste reference'!$A$7:$D$906,2,0))</f>
        <v>Cinclidotus mucronatus</v>
      </c>
      <c r="E37" s="213" t="e">
        <f>IF(D37="",,VLOOKUP(D37,D$22:D36,1,0))</f>
        <v>#N/A</v>
      </c>
      <c r="F37" s="223">
        <f t="shared" si="1"/>
        <v>0.0085</v>
      </c>
      <c r="G37" s="215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BRm</v>
      </c>
      <c r="H37" s="197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5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Cinclidotus mucronatus</v>
      </c>
      <c r="L37" s="218"/>
      <c r="M37" s="218"/>
      <c r="N37" s="218"/>
      <c r="O37" s="202"/>
      <c r="P37" s="203">
        <f t="shared" si="2"/>
        <v>0.0085</v>
      </c>
      <c r="Q37" s="204">
        <f t="shared" si="8"/>
        <v>1</v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 t="str">
        <f>IF(A37="new.cod","NEW.COD",IF(AND((Y37=""),ISTEXT(A37)),A37,IF(Y37="","",INDEX('[1]liste reference'!$A$7:$A$906,Y37))))</f>
        <v>CIN.MUC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174</v>
      </c>
      <c r="Z37" s="208"/>
      <c r="AA37" s="209"/>
      <c r="BB37" s="7">
        <f t="shared" si="7"/>
        <v>1</v>
      </c>
    </row>
    <row r="38" spans="1:54" ht="12.75">
      <c r="A38" s="210" t="s">
        <v>87</v>
      </c>
      <c r="B38" s="211">
        <v>0.01</v>
      </c>
      <c r="C38" s="212"/>
      <c r="D38" s="213" t="str">
        <f>IF(ISERROR(VLOOKUP($A38,'[1]liste reference'!$A$7:$D$906,2,0)),IF(ISERROR(VLOOKUP($A38,'[1]liste reference'!$B$7:$D$906,1,0)),"",VLOOKUP($A38,'[1]liste reference'!$B$7:$D$906,1,0)),VLOOKUP($A38,'[1]liste reference'!$A$7:$D$906,2,0))</f>
        <v>Jungermannia atrovirens (Solenostoma triste)</v>
      </c>
      <c r="E38" s="213" t="e">
        <f>IF(D38="",,VLOOKUP(D38,D$22:D37,1,0))</f>
        <v>#N/A</v>
      </c>
      <c r="F38" s="223">
        <f t="shared" si="1"/>
        <v>0.0085</v>
      </c>
      <c r="G38" s="215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BRh</v>
      </c>
      <c r="H38" s="197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4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  <v>19</v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  <v>3</v>
      </c>
      <c r="K38" s="217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Jungermannia atrovirens (Solenostoma triste)</v>
      </c>
      <c r="L38" s="218"/>
      <c r="M38" s="218"/>
      <c r="N38" s="218"/>
      <c r="O38" s="202"/>
      <c r="P38" s="203">
        <f t="shared" si="2"/>
        <v>0.0085</v>
      </c>
      <c r="Q38" s="204">
        <f t="shared" si="8"/>
        <v>1</v>
      </c>
      <c r="R38" s="204">
        <f t="shared" si="3"/>
        <v>19</v>
      </c>
      <c r="S38" s="204">
        <f t="shared" si="4"/>
        <v>57</v>
      </c>
      <c r="T38" s="219">
        <f t="shared" si="5"/>
        <v>3</v>
      </c>
      <c r="U38" s="205">
        <f t="shared" si="6"/>
      </c>
      <c r="V38" s="206" t="s">
        <v>52</v>
      </c>
      <c r="W38" s="206"/>
      <c r="X38" s="207" t="str">
        <f>IF(A38="new.cod","NEW.COD",IF(AND((Y38=""),ISTEXT(A38)),A38,IF(Y38="","",INDEX('[1]liste reference'!$A$7:$A$906,Y38))))</f>
        <v>JUG.ATR</v>
      </c>
      <c r="Y38" s="7">
        <f>IF(ISERROR(MATCH(A38,'[1]liste reference'!$A$7:$A$906,0)),IF(ISERROR(MATCH(A38,'[1]liste reference'!$B$7:$B$906,0)),"",(MATCH(A38,'[1]liste reference'!$B$7:$B$906,0))),(MATCH(A38,'[1]liste reference'!$A$7:$A$906,0)))</f>
        <v>102</v>
      </c>
      <c r="Z38" s="208"/>
      <c r="AA38" s="209"/>
      <c r="BB38" s="7">
        <f t="shared" si="7"/>
        <v>1</v>
      </c>
    </row>
    <row r="39" spans="1:54" ht="12.75">
      <c r="A39" s="210" t="s">
        <v>88</v>
      </c>
      <c r="B39" s="211">
        <v>0.01</v>
      </c>
      <c r="C39" s="212"/>
      <c r="D39" s="213" t="str">
        <f>IF(ISERROR(VLOOKUP($A39,'[1]liste reference'!$A$7:$D$906,2,0)),IF(ISERROR(VLOOKUP($A39,'[1]liste reference'!$B$7:$D$906,1,0)),"",VLOOKUP($A39,'[1]liste reference'!$B$7:$D$906,1,0)),VLOOKUP($A39,'[1]liste reference'!$A$7:$D$906,2,0))</f>
        <v>Equisetum palustre</v>
      </c>
      <c r="E39" s="213" t="e">
        <f>IF(D39="",,VLOOKUP(D39,D$22:D38,1,0))</f>
        <v>#N/A</v>
      </c>
      <c r="F39" s="223">
        <f t="shared" si="1"/>
        <v>0.0085</v>
      </c>
      <c r="G39" s="215" t="str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  <v>PTE</v>
      </c>
      <c r="H39" s="197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6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  <v>10</v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  <v>1</v>
      </c>
      <c r="K39" s="217" t="str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  <v>Equisetum palustre</v>
      </c>
      <c r="L39" s="218"/>
      <c r="M39" s="218"/>
      <c r="N39" s="218"/>
      <c r="O39" s="202"/>
      <c r="P39" s="203">
        <f t="shared" si="2"/>
        <v>0.0085</v>
      </c>
      <c r="Q39" s="204">
        <f t="shared" si="8"/>
        <v>1</v>
      </c>
      <c r="R39" s="204">
        <f t="shared" si="3"/>
        <v>10</v>
      </c>
      <c r="S39" s="204">
        <f t="shared" si="4"/>
        <v>10</v>
      </c>
      <c r="T39" s="219">
        <f t="shared" si="5"/>
        <v>1</v>
      </c>
      <c r="U39" s="205">
        <f t="shared" si="6"/>
      </c>
      <c r="V39" s="224" t="s">
        <v>52</v>
      </c>
      <c r="X39" s="207" t="str">
        <f>IF(A39="new.cod","NEW.COD",IF(AND((Y39=""),ISTEXT(A39)),A39,IF(Y39="","",INDEX('[1]liste reference'!$A$7:$A$906,Y39))))</f>
        <v>EQU.PAL</v>
      </c>
      <c r="Y39" s="7">
        <f>IF(ISERROR(MATCH(A39,'[1]liste reference'!$A$7:$A$906,0)),IF(ISERROR(MATCH(A39,'[1]liste reference'!$B$7:$B$906,0)),"",(MATCH(A39,'[1]liste reference'!$B$7:$B$906,0))),(MATCH(A39,'[1]liste reference'!$A$7:$A$906,0)))</f>
        <v>282</v>
      </c>
      <c r="Z39" s="208"/>
      <c r="AA39" s="209"/>
      <c r="BB39" s="7">
        <f t="shared" si="7"/>
        <v>1</v>
      </c>
    </row>
    <row r="40" spans="1:54" ht="12.75">
      <c r="A40" s="210" t="s">
        <v>89</v>
      </c>
      <c r="B40" s="211">
        <v>0.01</v>
      </c>
      <c r="C40" s="212"/>
      <c r="D40" s="213" t="str">
        <f>IF(ISERROR(VLOOKUP($A40,'[1]liste reference'!$A$7:$D$906,2,0)),IF(ISERROR(VLOOKUP($A40,'[1]liste reference'!$B$7:$D$906,1,0)),"",VLOOKUP($A40,'[1]liste reference'!$B$7:$D$906,1,0)),VLOOKUP($A40,'[1]liste reference'!$A$7:$D$906,2,0))</f>
        <v>Mentha aquatica</v>
      </c>
      <c r="E40" s="213" t="e">
        <f>IF(D40="",,VLOOKUP(D40,D$22:D39,1,0))</f>
        <v>#N/A</v>
      </c>
      <c r="F40" s="223">
        <f t="shared" si="1"/>
        <v>0.0085</v>
      </c>
      <c r="G40" s="215" t="str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  <v>PHe</v>
      </c>
      <c r="H40" s="197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8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  <v>12</v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  <v>1</v>
      </c>
      <c r="K40" s="217" t="str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  <v>Mentha aquatica</v>
      </c>
      <c r="L40" s="218"/>
      <c r="M40" s="218"/>
      <c r="N40" s="218"/>
      <c r="O40" s="202"/>
      <c r="P40" s="203">
        <f t="shared" si="2"/>
        <v>0.0085</v>
      </c>
      <c r="Q40" s="204">
        <f t="shared" si="8"/>
        <v>1</v>
      </c>
      <c r="R40" s="204">
        <f t="shared" si="3"/>
        <v>12</v>
      </c>
      <c r="S40" s="204">
        <f t="shared" si="4"/>
        <v>12</v>
      </c>
      <c r="T40" s="219">
        <f t="shared" si="5"/>
        <v>1</v>
      </c>
      <c r="U40" s="205">
        <f t="shared" si="6"/>
      </c>
      <c r="V40" s="206" t="s">
        <v>52</v>
      </c>
      <c r="X40" s="207" t="str">
        <f>IF(A40="new.cod","NEW.COD",IF(AND((Y40=""),ISTEXT(A40)),A40,IF(Y40="","",INDEX('[1]liste reference'!$A$7:$A$906,Y40))))</f>
        <v>MEN.AQU</v>
      </c>
      <c r="Y40" s="7">
        <f>IF(ISERROR(MATCH(A40,'[1]liste reference'!$A$7:$A$906,0)),IF(ISERROR(MATCH(A40,'[1]liste reference'!$B$7:$B$906,0)),"",(MATCH(A40,'[1]liste reference'!$B$7:$B$906,0))),(MATCH(A40,'[1]liste reference'!$A$7:$A$906,0)))</f>
        <v>613</v>
      </c>
      <c r="Z40" s="208"/>
      <c r="AA40" s="209"/>
      <c r="BB40" s="7">
        <f t="shared" si="7"/>
        <v>1</v>
      </c>
    </row>
    <row r="41" spans="1:54" ht="12.75">
      <c r="A41" s="210" t="s">
        <v>90</v>
      </c>
      <c r="B41" s="211">
        <v>0.01</v>
      </c>
      <c r="C41" s="212"/>
      <c r="D41" s="213" t="str">
        <f>IF(ISERROR(VLOOKUP($A41,'[1]liste reference'!$A$7:$D$906,2,0)),IF(ISERROR(VLOOKUP($A41,'[1]liste reference'!$B$7:$D$906,1,0)),"",VLOOKUP($A41,'[1]liste reference'!$B$7:$D$906,1,0)),VLOOKUP($A41,'[1]liste reference'!$A$7:$D$906,2,0))</f>
        <v>Juncus articulatus</v>
      </c>
      <c r="E41" s="213" t="e">
        <f>IF(D41="",,VLOOKUP(D41,D$22:D40,1,0))</f>
        <v>#N/A</v>
      </c>
      <c r="F41" s="223">
        <f t="shared" si="1"/>
        <v>0.0085</v>
      </c>
      <c r="G41" s="215" t="str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  <v>PHg</v>
      </c>
      <c r="H41" s="197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9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 t="str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  <v>Juncus articulatus</v>
      </c>
      <c r="L41" s="218"/>
      <c r="M41" s="218"/>
      <c r="N41" s="218"/>
      <c r="O41" s="202"/>
      <c r="P41" s="203">
        <f t="shared" si="2"/>
        <v>0.0085</v>
      </c>
      <c r="Q41" s="204">
        <f t="shared" si="8"/>
        <v>1</v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 t="str">
        <f>IF(A41="new.cod","NEW.COD",IF(AND((Y41=""),ISTEXT(A41)),A41,IF(Y41="","",INDEX('[1]liste reference'!$A$7:$A$906,Y41))))</f>
        <v>JUN.ART</v>
      </c>
      <c r="Y41" s="7">
        <f>IF(ISERROR(MATCH(A41,'[1]liste reference'!$A$7:$A$906,0)),IF(ISERROR(MATCH(A41,'[1]liste reference'!$B$7:$B$906,0)),"",(MATCH(A41,'[1]liste reference'!$B$7:$B$906,0))),(MATCH(A41,'[1]liste reference'!$A$7:$A$906,0)))</f>
        <v>775</v>
      </c>
      <c r="Z41" s="208"/>
      <c r="AA41" s="209"/>
      <c r="BB41" s="7">
        <f t="shared" si="7"/>
        <v>1</v>
      </c>
    </row>
    <row r="42" spans="1:54" ht="12.75">
      <c r="A42" s="210" t="s">
        <v>91</v>
      </c>
      <c r="B42" s="211">
        <v>0.01</v>
      </c>
      <c r="C42" s="212"/>
      <c r="D42" s="213" t="str">
        <f>IF(ISERROR(VLOOKUP($A42,'[1]liste reference'!$A$7:$D$906,2,0)),IF(ISERROR(VLOOKUP($A42,'[1]liste reference'!$B$7:$D$906,1,0)),"",VLOOKUP($A42,'[1]liste reference'!$B$7:$D$906,1,0)),VLOOKUP($A42,'[1]liste reference'!$A$7:$D$906,2,0))</f>
        <v>Apium nodiflorum (Sium nodiflorum)</v>
      </c>
      <c r="E42" s="213" t="e">
        <f>IF(D42="",,VLOOKUP(D42,D$22:D41,1,0))</f>
        <v>#N/A</v>
      </c>
      <c r="F42" s="223">
        <f t="shared" si="1"/>
        <v>0.0085</v>
      </c>
      <c r="G42" s="215" t="str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  <v>PHy</v>
      </c>
      <c r="H42" s="197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7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  <v>10</v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  <v>1</v>
      </c>
      <c r="K42" s="217" t="str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  <v>Apium nodiflorum (Sium nodiflorum)</v>
      </c>
      <c r="L42" s="218"/>
      <c r="M42" s="218"/>
      <c r="N42" s="218"/>
      <c r="O42" s="202"/>
      <c r="P42" s="203">
        <f t="shared" si="2"/>
        <v>0.0085</v>
      </c>
      <c r="Q42" s="204">
        <f t="shared" si="8"/>
        <v>1</v>
      </c>
      <c r="R42" s="204">
        <f t="shared" si="3"/>
        <v>10</v>
      </c>
      <c r="S42" s="204">
        <f t="shared" si="4"/>
        <v>10</v>
      </c>
      <c r="T42" s="219">
        <f t="shared" si="5"/>
        <v>1</v>
      </c>
      <c r="U42" s="205">
        <f t="shared" si="6"/>
      </c>
      <c r="V42" s="206" t="s">
        <v>52</v>
      </c>
      <c r="X42" s="207" t="str">
        <f>IF(A42="new.cod","NEW.COD",IF(AND((Y42=""),ISTEXT(A42)),A42,IF(Y42="","",INDEX('[1]liste reference'!$A$7:$A$906,Y42))))</f>
        <v>API.NOD</v>
      </c>
      <c r="Y42" s="7">
        <f>IF(ISERROR(MATCH(A42,'[1]liste reference'!$A$7:$A$906,0)),IF(ISERROR(MATCH(A42,'[1]liste reference'!$B$7:$B$906,0)),"",(MATCH(A42,'[1]liste reference'!$B$7:$B$906,0))),(MATCH(A42,'[1]liste reference'!$A$7:$A$906,0)))</f>
        <v>310</v>
      </c>
      <c r="Z42" s="208"/>
      <c r="AA42" s="209"/>
      <c r="BB42" s="7">
        <f t="shared" si="7"/>
        <v>1</v>
      </c>
    </row>
    <row r="43" spans="1:54" ht="12.75">
      <c r="A43" s="210" t="s">
        <v>92</v>
      </c>
      <c r="B43" s="211">
        <v>0.01</v>
      </c>
      <c r="C43" s="212"/>
      <c r="D43" s="213" t="str">
        <f>IF(ISERROR(VLOOKUP($A43,'[1]liste reference'!$A$7:$D$906,2,0)),IF(ISERROR(VLOOKUP($A43,'[1]liste reference'!$B$7:$D$906,1,0)),"",VLOOKUP($A43,'[1]liste reference'!$B$7:$D$906,1,0)),VLOOKUP($A43,'[1]liste reference'!$A$7:$D$906,2,0))</f>
        <v>Lycopus europaeus</v>
      </c>
      <c r="E43" s="213" t="e">
        <f>IF(D43="",,VLOOKUP(D43,D$22:D42,1,0))</f>
        <v>#N/A</v>
      </c>
      <c r="F43" s="223">
        <f t="shared" si="1"/>
        <v>0.0085</v>
      </c>
      <c r="G43" s="215" t="str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  <v>PHe</v>
      </c>
      <c r="H43" s="197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8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  <v>11</v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  <v>1</v>
      </c>
      <c r="K43" s="217" t="str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  <v>Lycopus europaeus</v>
      </c>
      <c r="L43" s="218"/>
      <c r="M43" s="218"/>
      <c r="N43" s="218"/>
      <c r="O43" s="202"/>
      <c r="P43" s="203">
        <f t="shared" si="2"/>
        <v>0.0085</v>
      </c>
      <c r="Q43" s="204">
        <f t="shared" si="8"/>
        <v>1</v>
      </c>
      <c r="R43" s="204">
        <f t="shared" si="3"/>
        <v>11</v>
      </c>
      <c r="S43" s="204">
        <f t="shared" si="4"/>
        <v>11</v>
      </c>
      <c r="T43" s="219">
        <f t="shared" si="5"/>
        <v>1</v>
      </c>
      <c r="U43" s="205">
        <f t="shared" si="6"/>
      </c>
      <c r="V43" s="206" t="s">
        <v>52</v>
      </c>
      <c r="X43" s="207" t="str">
        <f>IF(A43="new.cod","NEW.COD",IF(AND((Y43=""),ISTEXT(A43)),A43,IF(Y43="","",INDEX('[1]liste reference'!$A$7:$A$906,Y43))))</f>
        <v>LYC.EUR</v>
      </c>
      <c r="Y43" s="7">
        <f>IF(ISERROR(MATCH(A43,'[1]liste reference'!$A$7:$A$906,0)),IF(ISERROR(MATCH(A43,'[1]liste reference'!$B$7:$B$906,0)),"",(MATCH(A43,'[1]liste reference'!$B$7:$B$906,0))),(MATCH(A43,'[1]liste reference'!$A$7:$A$906,0)))</f>
        <v>602</v>
      </c>
      <c r="Z43" s="208"/>
      <c r="AA43" s="209"/>
      <c r="BB43" s="7">
        <f t="shared" si="7"/>
        <v>1</v>
      </c>
    </row>
    <row r="44" spans="1:54" ht="12.75">
      <c r="A44" s="210" t="s">
        <v>93</v>
      </c>
      <c r="B44" s="211">
        <v>0.01</v>
      </c>
      <c r="C44" s="212"/>
      <c r="D44" s="213" t="str">
        <f>IF(ISERROR(VLOOKUP($A44,'[1]liste reference'!$A$7:$D$906,2,0)),IF(ISERROR(VLOOKUP($A44,'[1]liste reference'!$B$7:$D$906,1,0)),"",VLOOKUP($A44,'[1]liste reference'!$B$7:$D$906,1,0)),VLOOKUP($A44,'[1]liste reference'!$A$7:$D$906,2,0))</f>
        <v>Agrostis stolonifera</v>
      </c>
      <c r="E44" s="213" t="e">
        <f>IF(D44="",,VLOOKUP(D44,D$22:D43,1,0))</f>
        <v>#N/A</v>
      </c>
      <c r="F44" s="223">
        <f t="shared" si="1"/>
        <v>0.0085</v>
      </c>
      <c r="G44" s="215" t="str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  <v>PHe</v>
      </c>
      <c r="H44" s="197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8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  <v>10</v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  <v>1</v>
      </c>
      <c r="K44" s="217" t="str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  <v>Agrostis stolonifera</v>
      </c>
      <c r="L44" s="218"/>
      <c r="M44" s="218"/>
      <c r="N44" s="218"/>
      <c r="O44" s="202"/>
      <c r="P44" s="203">
        <f t="shared" si="2"/>
        <v>0.0085</v>
      </c>
      <c r="Q44" s="204">
        <f t="shared" si="8"/>
        <v>1</v>
      </c>
      <c r="R44" s="204">
        <f t="shared" si="3"/>
        <v>10</v>
      </c>
      <c r="S44" s="204">
        <f t="shared" si="4"/>
        <v>10</v>
      </c>
      <c r="T44" s="219">
        <f t="shared" si="5"/>
        <v>1</v>
      </c>
      <c r="U44" s="205">
        <f t="shared" si="6"/>
      </c>
      <c r="V44" s="206" t="s">
        <v>52</v>
      </c>
      <c r="X44" s="207" t="str">
        <f>IF(A44="new.cod","NEW.COD",IF(AND((Y44=""),ISTEXT(A44)),A44,IF(Y44="","",INDEX('[1]liste reference'!$A$7:$A$906,Y44))))</f>
        <v>AGR.STO</v>
      </c>
      <c r="Y44" s="7">
        <f>IF(ISERROR(MATCH(A44,'[1]liste reference'!$A$7:$A$906,0)),IF(ISERROR(MATCH(A44,'[1]liste reference'!$B$7:$B$906,0)),"",(MATCH(A44,'[1]liste reference'!$B$7:$B$906,0))),(MATCH(A44,'[1]liste reference'!$A$7:$A$906,0)))</f>
        <v>520</v>
      </c>
      <c r="Z44" s="208"/>
      <c r="AA44" s="209"/>
      <c r="BB44" s="7">
        <f t="shared" si="7"/>
        <v>1</v>
      </c>
    </row>
    <row r="45" spans="1:54" ht="12.75">
      <c r="A45" s="210"/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94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Esteron</v>
      </c>
      <c r="B84" s="243" t="str">
        <f>C3</f>
        <v>Gilette</v>
      </c>
      <c r="C84" s="244">
        <f>A4</f>
        <v>40023</v>
      </c>
      <c r="D84" s="245">
        <f>IF(ISERROR(SUM($S$23:$S$82)/SUM($T$23:$T$82)),"",SUM($S$23:$S$82)/SUM($T$23:$T$82))</f>
        <v>12.294117647058824</v>
      </c>
      <c r="E84" s="246">
        <f>N13</f>
        <v>22</v>
      </c>
      <c r="F84" s="243">
        <f>N14</f>
        <v>18</v>
      </c>
      <c r="G84" s="243">
        <f>N15</f>
        <v>13</v>
      </c>
      <c r="H84" s="243">
        <f>N16</f>
        <v>4</v>
      </c>
      <c r="I84" s="243">
        <f>N17</f>
        <v>1</v>
      </c>
      <c r="J84" s="247">
        <f>N8</f>
        <v>11.166666666666666</v>
      </c>
      <c r="K84" s="245">
        <f>N9</f>
        <v>3.417085101111076</v>
      </c>
      <c r="L84" s="246">
        <f>N10</f>
        <v>4</v>
      </c>
      <c r="M84" s="246">
        <f>N11</f>
        <v>19</v>
      </c>
      <c r="N84" s="245">
        <f>O8</f>
        <v>1.3333333333333333</v>
      </c>
      <c r="O84" s="245">
        <f>O9</f>
        <v>0.5940885257860046</v>
      </c>
      <c r="P84" s="246">
        <f>O10</f>
        <v>1</v>
      </c>
      <c r="Q84" s="246">
        <f>O11</f>
        <v>3</v>
      </c>
      <c r="R84" s="248">
        <f>F21</f>
        <v>4.150999999999998</v>
      </c>
      <c r="S84" s="246">
        <f>K11</f>
        <v>0</v>
      </c>
      <c r="T84" s="246">
        <f>K12</f>
        <v>8</v>
      </c>
      <c r="U84" s="246">
        <f>K13</f>
        <v>8</v>
      </c>
      <c r="V84" s="249">
        <f>K14</f>
        <v>1</v>
      </c>
      <c r="W84" s="250">
        <f>K15</f>
        <v>5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95</v>
      </c>
      <c r="Q86" s="7"/>
      <c r="R86" s="205"/>
      <c r="S86" s="7"/>
      <c r="T86" s="7"/>
      <c r="U86" s="7"/>
    </row>
    <row r="87" spans="16:21" ht="12.75" hidden="1">
      <c r="P87" s="7" t="s">
        <v>96</v>
      </c>
      <c r="Q87" s="7"/>
      <c r="R87" s="205">
        <f>VLOOKUP(MAX($R$23:$R$82),($R$23:$T$82),1,0)</f>
        <v>36</v>
      </c>
      <c r="S87" s="7"/>
      <c r="T87" s="7"/>
      <c r="U87" s="7"/>
    </row>
    <row r="88" spans="16:21" ht="12.75" hidden="1">
      <c r="P88" s="7" t="s">
        <v>97</v>
      </c>
      <c r="Q88" s="7"/>
      <c r="R88" s="205">
        <f>VLOOKUP((R87),($R$23:$T$82),2,0)</f>
        <v>36</v>
      </c>
      <c r="S88" s="7"/>
      <c r="T88" s="7"/>
      <c r="U88" s="7"/>
    </row>
    <row r="89" spans="16:19" ht="12.75" hidden="1">
      <c r="P89" s="7" t="s">
        <v>98</v>
      </c>
      <c r="Q89" s="7"/>
      <c r="R89" s="205">
        <f>VLOOKUP((R87),($R$23:$T$82),3,0)</f>
        <v>3</v>
      </c>
      <c r="S89" s="7"/>
    </row>
    <row r="90" spans="16:19" ht="12.75" hidden="1">
      <c r="P90" s="7" t="s">
        <v>99</v>
      </c>
      <c r="Q90" s="7"/>
      <c r="R90" s="253">
        <f>IF(ISERROR(SUM($S$23:$S$82)/SUM($T$23:$T$82)),"",(SUM($S$23:$S$82)-R88)/(SUM($T$23:$T$82)-R89))</f>
        <v>12.32258064516129</v>
      </c>
      <c r="S90" s="7"/>
    </row>
    <row r="91" spans="16:20" ht="12.75" hidden="1">
      <c r="P91" s="204" t="s">
        <v>100</v>
      </c>
      <c r="Q91" s="204"/>
      <c r="R91" s="204" t="str">
        <f>INDEX('[1]liste reference'!$A$7:$A$906,$S$91)</f>
        <v>RHY.RIP</v>
      </c>
      <c r="S91" s="7">
        <f>IF(ISERROR(MATCH($R$93,'[1]liste reference'!$A$7:$A$906,0)),MATCH($R$93,'[1]liste reference'!$B$7:$B$906,0),(MATCH($R$93,'[1]liste reference'!$A$7:$A$906,0)))</f>
        <v>253</v>
      </c>
      <c r="T91" s="241"/>
    </row>
    <row r="92" spans="16:19" ht="12.75" hidden="1">
      <c r="P92" s="7" t="s">
        <v>101</v>
      </c>
      <c r="Q92" s="7"/>
      <c r="R92" s="7">
        <f>MATCH(R87,$R$23:$R$82,0)</f>
        <v>12</v>
      </c>
      <c r="S92" s="7"/>
    </row>
    <row r="93" spans="16:19" ht="12.75" hidden="1">
      <c r="P93" s="204" t="s">
        <v>102</v>
      </c>
      <c r="Q93" s="7"/>
      <c r="R93" s="204" t="str">
        <f>INDEX($A$23:$A$82,$R$92)</f>
        <v>RHY.RIP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2013-10-22T13:25:20Z</dcterms:created>
  <dcterms:modified xsi:type="dcterms:W3CDTF">2013-10-23T13:49:03Z</dcterms:modified>
  <cp:category/>
  <cp:version/>
  <cp:contentType/>
  <cp:contentStatus/>
</cp:coreProperties>
</file>