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ar Nic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'Var Nice'!$A$1:$O$82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'Var Nice'!$A$23:$J$84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<sst xmlns="http://schemas.openxmlformats.org/spreadsheetml/2006/main" count="7352" uniqueCount="2731">
  <si>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</si>
  <si>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</si>
  <si>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</si>
  <si>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</si>
  <si>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</si>
  <si>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</si>
  <si>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</si>
  <si>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</si>
  <si>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</si>
  <si>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</si>
  <si>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</si>
  <si>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</si>
  <si>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</si>
  <si>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</si>
  <si>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</si>
  <si>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</si>
  <si>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</si>
  <si>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</si>
  <si>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</si>
  <si>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</si>
  <si>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</si>
  <si>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</si>
  <si>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</si>
  <si>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</si>
  <si>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</si>
  <si>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</si>
  <si>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</si>
  <si>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</si>
  <si>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</si>
  <si>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</si>
  <si>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</si>
  <si>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</si>
  <si>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</si>
  <si>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</si>
  <si>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</si>
  <si>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</si>
  <si>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</si>
  <si>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</si>
  <si>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</si>
  <si>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</si>
  <si>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</si>
  <si>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</si>
  <si>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</si>
  <si>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</si>
  <si>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</si>
  <si>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</si>
  <si>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</si>
  <si>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</si>
  <si>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</si>
  <si>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</si>
  <si>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</si>
  <si>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</si>
  <si>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</si>
  <si>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</si>
  <si>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</si>
  <si>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</si>
  <si>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</si>
  <si>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</si>
  <si>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</si>
  <si>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</si>
  <si>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</si>
  <si>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</si>
  <si>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</si>
  <si>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</si>
  <si>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</si>
  <si>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</si>
  <si>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</si>
  <si>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</si>
  <si>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</si>
  <si>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</si>
  <si>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</si>
  <si>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</si>
  <si>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</si>
  <si>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</si>
  <si>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</si>
  <si>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</si>
  <si>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</si>
  <si>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</si>
  <si>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</si>
  <si>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</si>
  <si>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</si>
  <si>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</si>
  <si>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</si>
  <si>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</si>
  <si>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</si>
  <si>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</si>
  <si>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</si>
  <si>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</si>
  <si>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</si>
  <si>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</si>
  <si>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</si>
  <si>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</si>
  <si>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</si>
  <si>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</si>
  <si>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</si>
  <si>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</si>
  <si>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</si>
  <si>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</si>
  <si>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</si>
  <si>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</si>
  <si>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</si>
  <si>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</si>
  <si>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</si>
  <si>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</si>
  <si>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</si>
  <si>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</si>
  <si>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</si>
  <si>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</si>
  <si>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</si>
  <si>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</si>
  <si>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</si>
  <si>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</si>
  <si>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</si>
  <si>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</si>
  <si>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</si>
  <si>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</si>
  <si>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</si>
  <si>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</si>
  <si>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</si>
  <si>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</si>
  <si>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</si>
  <si>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</si>
  <si>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</si>
  <si>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</si>
  <si>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</si>
  <si>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</si>
  <si>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</si>
  <si>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</si>
  <si>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</si>
  <si>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</si>
  <si>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</si>
  <si>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</si>
  <si>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</si>
  <si>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</si>
  <si>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</si>
  <si>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</si>
  <si>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</si>
  <si>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</si>
  <si>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</si>
  <si>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</si>
  <si>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</si>
  <si>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</si>
  <si>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</si>
  <si>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</si>
  <si>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</si>
  <si>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</si>
  <si>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</si>
  <si>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</si>
  <si>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</si>
  <si>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</si>
  <si>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</si>
  <si>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</si>
  <si>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</si>
  <si>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</si>
  <si>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</si>
  <si>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</si>
  <si>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</si>
  <si>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</si>
  <si>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</si>
  <si>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</si>
  <si>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</si>
  <si>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</si>
  <si>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</si>
  <si>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</si>
  <si>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</si>
  <si>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</si>
  <si>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</si>
  <si>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</si>
  <si>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</si>
  <si>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</si>
  <si>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</si>
  <si>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</si>
  <si>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</si>
  <si>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</si>
  <si>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</si>
  <si>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</si>
  <si>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</si>
  <si>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</si>
  <si>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</si>
  <si>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</si>
  <si>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</si>
  <si>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</si>
  <si>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</si>
  <si>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</si>
  <si>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</si>
  <si>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</si>
  <si>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</si>
  <si>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</si>
  <si>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</si>
  <si>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</si>
  <si>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</si>
  <si>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</si>
  <si>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</si>
  <si>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</si>
  <si>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</si>
  <si>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</si>
  <si>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</si>
  <si>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</si>
  <si>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</si>
  <si>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</si>
  <si>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</si>
  <si>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</si>
  <si>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</si>
  <si>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</si>
  <si>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</si>
  <si>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</si>
  <si>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</si>
  <si>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</si>
  <si>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</si>
  <si>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</si>
  <si>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</si>
  <si>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</si>
  <si>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</si>
  <si>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</si>
  <si>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</si>
  <si>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</si>
  <si>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</si>
  <si>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</si>
  <si>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</si>
  <si>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</si>
  <si>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</si>
  <si>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</si>
  <si>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</si>
  <si>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</si>
  <si>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</si>
  <si>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</si>
  <si>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</si>
  <si>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</si>
  <si>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</si>
  <si>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</si>
  <si>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</si>
  <si>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</si>
  <si>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</si>
  <si>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</si>
  <si>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</si>
  <si>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</si>
  <si>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</si>
  <si>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</si>
  <si>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</si>
  <si>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</si>
  <si>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</si>
  <si>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</si>
  <si>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</si>
  <si>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</si>
  <si>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</si>
  <si>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</si>
  <si>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</si>
  <si>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</si>
  <si>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</si>
  <si>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</si>
  <si>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</si>
  <si>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</si>
  <si>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</si>
  <si>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</si>
  <si>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</si>
  <si>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</si>
  <si>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</si>
  <si>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</si>
  <si>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</si>
  <si>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</si>
  <si>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</si>
  <si>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</si>
  <si>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</si>
  <si>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</si>
  <si>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</si>
  <si>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</si>
  <si>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</si>
  <si>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</si>
  <si>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</si>
  <si>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</si>
  <si>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</si>
  <si>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</si>
  <si>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</si>
  <si>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</si>
  <si>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</si>
  <si>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</si>
  <si>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</si>
  <si>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</si>
  <si>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</si>
  <si>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</si>
  <si>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</si>
  <si>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</si>
  <si>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</si>
  <si>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</si>
  <si>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</si>
  <si>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</si>
  <si>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</si>
  <si>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</si>
  <si>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</si>
  <si>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</si>
  <si>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</si>
  <si>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</si>
  <si>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</si>
  <si>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</si>
  <si>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</si>
  <si>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</si>
  <si>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</si>
  <si>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</si>
  <si>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</si>
  <si>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</si>
  <si>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</si>
  <si>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</si>
  <si>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</si>
  <si>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</si>
  <si>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</si>
  <si>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</si>
  <si>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</si>
  <si>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</si>
  <si>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</si>
  <si>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</si>
  <si>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</si>
  <si>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</si>
  <si>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</si>
  <si>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</si>
  <si>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</si>
  <si>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</si>
  <si>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</si>
  <si>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</si>
  <si>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</si>
  <si>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</si>
  <si>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</si>
  <si>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</si>
  <si>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</si>
  <si>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</si>
  <si>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</si>
  <si>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</si>
  <si>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</si>
  <si>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</si>
  <si>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</si>
  <si>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</si>
  <si>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</si>
  <si>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</si>
  <si>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</si>
  <si>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</si>
  <si>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</si>
  <si>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</si>
  <si>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</si>
  <si>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</si>
  <si>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</si>
  <si>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</si>
  <si>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</si>
  <si>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</si>
  <si>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</si>
  <si>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</si>
  <si>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</si>
  <si>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</si>
  <si>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</si>
  <si>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</si>
  <si>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</si>
  <si>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</si>
  <si>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</si>
  <si>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</si>
  <si>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</si>
  <si>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</si>
  <si>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</si>
  <si>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</si>
  <si>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</si>
  <si>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</si>
  <si>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</si>
  <si>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</si>
  <si>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</si>
  <si>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</si>
  <si>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</si>
  <si>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</si>
  <si>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</si>
  <si>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</si>
  <si>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</si>
  <si>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</si>
  <si>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</si>
  <si>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</si>
  <si>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</si>
  <si>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</si>
  <si>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</si>
  <si>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</si>
  <si>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</si>
  <si>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</si>
  <si>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</si>
  <si>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</si>
  <si>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</si>
  <si>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</si>
  <si>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</si>
  <si>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</si>
  <si>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</si>
  <si>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</si>
  <si>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</si>
  <si>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</si>
  <si>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</si>
  <si>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</si>
  <si>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</si>
  <si>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</si>
  <si>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</si>
  <si>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</si>
  <si>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</si>
  <si>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</si>
  <si>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</si>
  <si>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</si>
  <si>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</si>
  <si>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</si>
  <si>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</si>
  <si>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</si>
  <si>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</si>
  <si>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</si>
  <si>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</si>
  <si>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</si>
  <si>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</si>
  <si>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</si>
  <si>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</si>
  <si>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</si>
  <si>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</si>
  <si>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</si>
  <si>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</si>
  <si>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</si>
  <si>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</si>
  <si>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</si>
  <si>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</si>
  <si>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</si>
  <si>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</si>
  <si>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</si>
  <si>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</si>
  <si>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</si>
  <si>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</si>
  <si>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</si>
  <si>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</si>
  <si>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</si>
  <si>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</si>
  <si>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</si>
  <si>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</si>
  <si>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</si>
  <si>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</si>
  <si>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</si>
  <si>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</si>
  <si>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</si>
  <si>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</si>
  <si>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</si>
  <si>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</si>
  <si>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</si>
  <si>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</si>
  <si>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</si>
  <si>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</si>
  <si>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</si>
  <si>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</si>
  <si>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</si>
  <si>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</si>
  <si>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</si>
  <si>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</si>
  <si>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</si>
  <si>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</si>
  <si>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</si>
  <si>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</si>
  <si>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</si>
  <si>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</si>
  <si>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</si>
  <si>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</si>
  <si>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</si>
  <si>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</si>
  <si>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</si>
  <si>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</si>
  <si>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</si>
  <si>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</si>
  <si>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</si>
  <si>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</si>
  <si>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</si>
  <si>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</si>
  <si>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</si>
  <si>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</si>
  <si>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</si>
  <si>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</si>
  <si>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</si>
  <si>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</si>
  <si>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</si>
  <si>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</si>
  <si>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</si>
  <si>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</si>
  <si>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</si>
  <si>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</si>
  <si>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</si>
  <si>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</si>
  <si>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</si>
  <si>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</si>
  <si>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</si>
  <si>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</si>
  <si>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</si>
  <si>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</si>
  <si>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</si>
  <si>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</si>
  <si>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</si>
  <si>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</si>
  <si>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</si>
  <si>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</si>
  <si>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</si>
  <si>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</si>
  <si>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</si>
  <si>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</si>
  <si>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</si>
  <si>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</si>
  <si>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</si>
  <si>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</si>
  <si>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</si>
  <si>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</si>
  <si>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</si>
  <si>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</si>
  <si>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</si>
  <si>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</si>
  <si>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</si>
  <si>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</si>
  <si>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</si>
  <si>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</si>
  <si>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</si>
  <si>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</si>
  <si>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</si>
  <si>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</si>
  <si>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</si>
  <si>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</si>
  <si>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</si>
  <si>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</si>
  <si>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</si>
  <si>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</si>
  <si>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</si>
  <si>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</si>
  <si>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</si>
  <si>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</si>
  <si>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</si>
  <si>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</si>
  <si>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</si>
  <si>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</si>
  <si>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</si>
  <si>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</si>
  <si>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</si>
  <si>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</si>
  <si>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</si>
  <si>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</si>
  <si>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</si>
  <si>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</si>
  <si>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</si>
  <si>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</si>
  <si>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</si>
  <si>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</si>
  <si>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</si>
  <si>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</si>
  <si>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</si>
  <si>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</si>
  <si>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</si>
  <si>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</si>
  <si>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</si>
  <si>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</si>
  <si>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</si>
  <si>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</si>
  <si>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</si>
  <si>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</si>
  <si>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</si>
  <si>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</si>
  <si>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</si>
  <si>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</si>
  <si>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</si>
  <si>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</si>
  <si>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</si>
  <si>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</si>
  <si>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</si>
  <si>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</si>
  <si>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</si>
  <si>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</si>
  <si>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</si>
  <si>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</si>
  <si>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</si>
  <si>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</si>
  <si>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</si>
  <si>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</si>
  <si>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</si>
  <si>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</si>
  <si>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</si>
  <si>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</si>
  <si>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</si>
  <si>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</si>
  <si>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</si>
  <si>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</si>
  <si>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</si>
  <si>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</si>
  <si>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</si>
  <si>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</si>
  <si>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</si>
  <si>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</si>
  <si>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</si>
  <si>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</si>
  <si>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</si>
  <si>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</si>
  <si>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</si>
  <si>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</si>
  <si>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</si>
  <si>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</si>
  <si>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</si>
  <si>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</si>
  <si>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</si>
  <si>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</si>
  <si>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</si>
  <si>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</si>
  <si>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</si>
  <si>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</si>
  <si>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</si>
  <si>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</si>
  <si>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</si>
  <si>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</si>
  <si>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</si>
  <si>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</si>
  <si>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</si>
  <si>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</si>
  <si>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</si>
  <si>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</si>
  <si>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</si>
  <si>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</si>
  <si>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</si>
  <si>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</si>
  <si>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</si>
  <si>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</si>
  <si>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</si>
  <si>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</si>
  <si>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</si>
  <si>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</si>
  <si>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</si>
  <si>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</si>
  <si>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</si>
  <si>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</si>
  <si>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</si>
  <si>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</si>
  <si>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</si>
  <si>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</si>
  <si>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</si>
  <si>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</si>
  <si>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</si>
  <si>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</si>
  <si>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</si>
  <si>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</si>
  <si>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</si>
  <si>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</si>
  <si>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</si>
  <si>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</si>
  <si>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</si>
  <si>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</si>
  <si>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</si>
  <si>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</si>
  <si>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</si>
  <si>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</si>
  <si>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</si>
  <si>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</si>
  <si>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</si>
  <si>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</si>
  <si>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</si>
  <si>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</si>
  <si>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</si>
  <si>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</si>
  <si>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</si>
  <si>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</si>
  <si>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</si>
  <si>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</si>
  <si>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</si>
  <si>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</si>
  <si>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</si>
  <si>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</si>
  <si>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</si>
  <si>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</si>
  <si>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</si>
  <si>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</si>
  <si>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</si>
  <si>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</si>
  <si>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</si>
  <si>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</si>
  <si>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</si>
  <si>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</si>
  <si>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</si>
  <si>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</si>
  <si>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</si>
  <si>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</si>
  <si>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</si>
  <si>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</si>
  <si>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</si>
  <si>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</si>
  <si>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</si>
  <si>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</si>
  <si>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</si>
  <si>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</si>
  <si>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</si>
  <si>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</si>
  <si>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</si>
  <si>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</si>
  <si>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</si>
  <si>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</si>
  <si>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</si>
  <si>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</si>
  <si>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</si>
  <si>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</si>
  <si>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</si>
  <si>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</si>
  <si>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</si>
  <si>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</si>
  <si>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</si>
  <si>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</si>
  <si>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</si>
  <si>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</si>
  <si>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</si>
  <si>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</si>
  <si>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</si>
  <si>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</si>
  <si>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</si>
  <si>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</si>
  <si>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</si>
  <si>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</si>
  <si>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</si>
  <si>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</si>
  <si>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</si>
  <si>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</si>
  <si>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</si>
  <si>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</si>
  <si>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</si>
  <si>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</si>
  <si>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</si>
  <si>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</si>
  <si>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</si>
  <si>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</si>
  <si>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</si>
  <si>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</si>
  <si>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</si>
  <si>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</si>
  <si>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</si>
  <si>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</si>
  <si>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</si>
  <si>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</si>
  <si>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</si>
  <si>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</si>
  <si>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</si>
  <si>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</si>
  <si>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</si>
  <si>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</si>
  <si>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</si>
  <si>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</si>
  <si>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</si>
  <si>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</si>
  <si>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</si>
  <si>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</si>
  <si>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</si>
  <si>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</si>
  <si>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</si>
  <si>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</si>
  <si>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</si>
  <si>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</si>
  <si>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</si>
  <si>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</si>
  <si>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</si>
  <si>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</si>
  <si>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</si>
  <si>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</si>
  <si>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</si>
  <si>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</si>
  <si>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</si>
  <si>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</si>
  <si>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</si>
  <si>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</si>
  <si>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</si>
  <si>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</si>
  <si>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</si>
  <si>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</si>
  <si>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</si>
  <si>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</si>
  <si>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</si>
  <si>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</si>
  <si>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</si>
  <si>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</si>
  <si>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</si>
  <si>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</si>
  <si>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</si>
  <si>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</si>
  <si>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</si>
  <si>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</si>
  <si>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</si>
  <si>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</si>
  <si>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</si>
  <si>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</si>
  <si>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</si>
  <si>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</si>
  <si>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</si>
  <si>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</si>
  <si>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</si>
  <si>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</si>
  <si>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</si>
  <si>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</si>
  <si>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</si>
  <si>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</si>
  <si>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</si>
  <si>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</si>
  <si>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</si>
  <si>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</si>
  <si>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</si>
  <si>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</si>
  <si>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</si>
  <si>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</si>
  <si>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</si>
  <si>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</si>
  <si>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</si>
  <si>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</si>
  <si>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</si>
  <si>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</si>
  <si>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</si>
  <si>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</si>
  <si>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</si>
  <si>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</si>
  <si>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</si>
  <si>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</si>
  <si>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</si>
  <si>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</si>
  <si>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</si>
  <si>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</si>
  <si>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</si>
  <si>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</si>
  <si>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</si>
  <si>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</si>
  <si>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</si>
  <si>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</si>
  <si>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</si>
  <si>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</si>
  <si>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</si>
  <si>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</si>
  <si>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</si>
  <si>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</si>
  <si>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</si>
  <si>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</si>
  <si>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</si>
  <si>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</si>
  <si>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</si>
  <si>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</si>
  <si>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</si>
  <si>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</si>
  <si>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</si>
  <si>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</si>
  <si>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</si>
  <si>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</si>
  <si>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</si>
  <si>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</si>
  <si>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</si>
  <si>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</si>
  <si>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</si>
  <si>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</si>
  <si>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</si>
  <si>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</si>
  <si>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</si>
  <si>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</si>
  <si>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</si>
  <si>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</si>
  <si>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</si>
  <si>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</si>
  <si>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</si>
  <si>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</si>
  <si>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</si>
  <si>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</si>
  <si>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</si>
  <si>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</si>
  <si>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</si>
  <si>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</si>
  <si>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</si>
  <si>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</si>
  <si>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</si>
  <si>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</si>
  <si>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</si>
  <si>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</si>
  <si>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</si>
  <si>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</si>
  <si>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</si>
  <si>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</si>
  <si>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</si>
  <si>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</si>
  <si>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</si>
  <si>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</si>
  <si>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</si>
  <si>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</si>
  <si>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</si>
  <si>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</si>
  <si>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</si>
  <si>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</si>
  <si>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</si>
  <si>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</si>
  <si>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</si>
  <si>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</si>
  <si>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</si>
  <si>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</si>
  <si>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</si>
  <si>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</si>
  <si>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</si>
  <si>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</si>
  <si>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</si>
  <si>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</si>
  <si>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</si>
  <si>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</si>
  <si>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</si>
  <si>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</si>
  <si>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</si>
  <si>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</si>
  <si>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</si>
  <si>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</si>
  <si>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</si>
  <si>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</si>
  <si>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</si>
  <si>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</si>
  <si>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</si>
  <si>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</si>
  <si>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</si>
  <si>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</si>
  <si>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</si>
  <si>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</si>
  <si>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</si>
  <si>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</si>
  <si>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</si>
  <si>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</si>
  <si>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</si>
  <si>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</si>
  <si>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</si>
  <si>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</si>
  <si>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</si>
  <si>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</si>
  <si>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</si>
  <si>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</si>
  <si>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</si>
  <si>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</si>
  <si>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</si>
  <si>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</si>
  <si>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</si>
  <si>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</si>
  <si>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</si>
  <si>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</si>
  <si>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</si>
  <si>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</si>
  <si>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</si>
  <si>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</si>
  <si>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</si>
  <si>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</si>
  <si>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</si>
  <si>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</si>
  <si>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</si>
  <si>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</si>
  <si>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</si>
  <si>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</si>
  <si>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</si>
  <si>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</si>
  <si>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</si>
  <si>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</si>
  <si>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</si>
  <si>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</si>
  <si>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</si>
  <si>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</si>
  <si>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</si>
  <si>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</si>
  <si>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</si>
  <si>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</si>
  <si>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</si>
  <si>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</si>
  <si>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</si>
  <si>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</si>
  <si>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</si>
  <si>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</si>
  <si>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</si>
  <si>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</si>
  <si>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</si>
  <si>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</si>
  <si>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</si>
  <si>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</si>
  <si>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</si>
  <si>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</si>
  <si>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</si>
  <si>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</si>
  <si>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</si>
  <si>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</si>
  <si>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</si>
  <si>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</si>
  <si>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</si>
  <si>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</si>
  <si>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</si>
  <si>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</si>
  <si>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</si>
  <si>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</si>
  <si>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</si>
  <si>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</si>
  <si>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</si>
  <si>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</si>
  <si>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</si>
  <si>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</si>
  <si>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</si>
  <si>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</si>
  <si>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</si>
  <si>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</si>
  <si>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</si>
  <si>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</si>
  <si>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</si>
  <si>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</si>
  <si>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</si>
  <si>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</si>
  <si>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</si>
  <si>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</si>
  <si>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</si>
  <si>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</si>
  <si>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</si>
  <si>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</si>
  <si>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</si>
  <si>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</si>
  <si>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</si>
  <si>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</si>
  <si>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</si>
  <si>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</si>
  <si>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</si>
  <si>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</si>
  <si>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</si>
  <si>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</si>
  <si>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</si>
  <si>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</si>
  <si>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</si>
  <si>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</si>
  <si>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</si>
  <si>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</si>
  <si>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</si>
  <si>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</si>
  <si>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</si>
  <si>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</si>
  <si>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</si>
  <si>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</si>
  <si>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</si>
  <si>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</si>
  <si>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</si>
  <si>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</si>
  <si>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</si>
  <si>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</si>
  <si>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</si>
  <si>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</si>
  <si>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</si>
  <si>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</si>
  <si>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</si>
  <si>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</si>
  <si>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</si>
  <si>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</si>
  <si>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</si>
  <si>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</si>
  <si>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</si>
  <si>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</si>
  <si>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</si>
  <si>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</si>
  <si>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</si>
  <si>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</si>
  <si>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</si>
  <si>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</si>
  <si>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</si>
  <si>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</si>
  <si>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</si>
  <si>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</si>
  <si>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</si>
  <si>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</si>
  <si>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</si>
  <si>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</si>
  <si>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</si>
  <si>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</si>
  <si>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</si>
  <si>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</si>
  <si>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</si>
  <si>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</si>
  <si>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</si>
  <si>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</si>
  <si>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</si>
  <si>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</si>
  <si>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</si>
  <si>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</si>
  <si>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</si>
  <si>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</si>
  <si>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</si>
  <si>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</si>
  <si>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</si>
  <si>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</si>
  <si>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</si>
  <si>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</si>
  <si>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</si>
  <si>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</si>
  <si>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</si>
  <si>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</si>
  <si>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</si>
  <si>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</si>
  <si>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</si>
  <si>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</si>
  <si>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</si>
  <si>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</si>
  <si>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</si>
  <si>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</si>
  <si>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</si>
  <si>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</si>
  <si>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</si>
  <si>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</si>
  <si>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</si>
  <si>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</si>
  <si>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</si>
  <si>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</si>
  <si>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</si>
  <si>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</si>
  <si>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</si>
  <si>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</si>
  <si>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</si>
  <si>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</si>
  <si>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</si>
  <si>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</si>
  <si>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</si>
  <si>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</si>
  <si>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</si>
  <si>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</si>
  <si>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</si>
  <si>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</si>
  <si>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</si>
  <si>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</si>
  <si>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</si>
  <si>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</si>
  <si>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</si>
  <si>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</si>
  <si>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</si>
  <si>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</si>
  <si>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</si>
  <si>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</si>
  <si>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</si>
  <si>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</si>
  <si>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</si>
  <si>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</si>
  <si>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</si>
  <si>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</si>
  <si>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</si>
  <si>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</si>
  <si>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</si>
  <si>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</si>
  <si>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</si>
  <si>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</si>
  <si>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</si>
  <si>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</si>
  <si>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</si>
  <si>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</si>
  <si>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</si>
  <si>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</si>
  <si>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</si>
  <si>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</si>
  <si>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</si>
  <si>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</si>
  <si>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</si>
  <si>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</si>
  <si>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</si>
  <si>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</si>
  <si>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</si>
  <si>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</si>
  <si>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</si>
  <si>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</si>
  <si>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</si>
  <si>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</si>
  <si>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</si>
  <si>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</si>
  <si>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</si>
  <si>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</si>
  <si>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</si>
  <si>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</si>
  <si>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</si>
  <si>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</si>
  <si>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</si>
  <si>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</si>
  <si>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</si>
  <si>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</si>
  <si>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</si>
  <si>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</si>
  <si>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</si>
  <si>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</si>
  <si>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</si>
  <si>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</si>
  <si>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</si>
  <si>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</si>
  <si>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</si>
  <si>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</si>
  <si>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</si>
  <si>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</si>
  <si>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</si>
  <si>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</si>
  <si>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</si>
  <si>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</si>
  <si>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</si>
  <si>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</si>
  <si>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</si>
  <si>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</si>
  <si>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</si>
  <si>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</si>
  <si>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</si>
  <si>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</si>
  <si>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</si>
  <si>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</si>
  <si>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</si>
  <si>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</si>
  <si>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</si>
  <si>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</si>
  <si>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</si>
  <si>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</si>
  <si>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</si>
  <si>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</si>
  <si>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</si>
  <si>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</si>
  <si>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</si>
  <si>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</si>
  <si>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</si>
  <si>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</si>
  <si>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</si>
  <si>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</si>
  <si>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</si>
  <si>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</si>
  <si>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</si>
  <si>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</si>
  <si>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</si>
  <si>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</si>
  <si>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</si>
  <si>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</si>
  <si>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</si>
  <si>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</si>
  <si>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</si>
  <si>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</si>
  <si>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</si>
  <si>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</si>
  <si>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</si>
  <si>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</si>
  <si>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</si>
  <si>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</si>
  <si>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</si>
  <si>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</si>
  <si>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</si>
  <si>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</si>
  <si>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</si>
  <si>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</si>
  <si>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</si>
  <si>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</si>
  <si>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</si>
  <si>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</si>
  <si>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</si>
  <si>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</si>
  <si>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</si>
  <si>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</si>
  <si>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</si>
  <si>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</si>
  <si>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</si>
  <si>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</si>
  <si>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</si>
  <si>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</si>
  <si>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</si>
  <si>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</si>
  <si>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</si>
  <si>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</si>
  <si>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</si>
  <si>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</si>
  <si>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</si>
  <si>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</si>
  <si>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</si>
  <si>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</si>
  <si>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</si>
  <si>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</si>
  <si>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</si>
  <si>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</si>
  <si>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</si>
  <si>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</si>
  <si>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</si>
  <si>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</si>
  <si>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</si>
  <si>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</si>
  <si>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</si>
  <si>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</si>
  <si>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</si>
  <si>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</si>
  <si>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</si>
  <si>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</si>
  <si>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</si>
  <si>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</si>
  <si>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</si>
  <si>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</si>
  <si>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</si>
  <si>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</si>
  <si>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</si>
  <si>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</si>
  <si>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</si>
  <si>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</si>
  <si>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</si>
  <si>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</si>
  <si>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</si>
  <si>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</si>
  <si>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</si>
  <si>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</si>
  <si>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</si>
  <si>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</si>
  <si>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</si>
  <si>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</si>
  <si>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</si>
  <si>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</si>
  <si>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</si>
  <si>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</si>
  <si>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</si>
  <si>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</si>
  <si>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</si>
  <si>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</si>
  <si>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</si>
  <si>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</si>
  <si>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</si>
  <si>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</si>
  <si>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</si>
  <si>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</si>
  <si>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</si>
  <si>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</si>
  <si>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</si>
  <si>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</si>
  <si>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</si>
  <si>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</si>
  <si>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</si>
  <si>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</si>
  <si>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</si>
  <si>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</si>
  <si>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</si>
  <si>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</si>
  <si>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</si>
  <si>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</si>
  <si>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</si>
  <si>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</si>
  <si>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</si>
  <si>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</si>
  <si>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</si>
  <si>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</si>
  <si>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</si>
  <si>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</si>
  <si>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</si>
  <si>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</si>
  <si>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</si>
  <si>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</si>
  <si>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</si>
  <si>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</si>
  <si>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</si>
  <si>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</si>
  <si>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</si>
  <si>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</si>
  <si>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</si>
  <si>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</si>
  <si>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</si>
  <si>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</si>
  <si>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</si>
  <si>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</si>
  <si>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</si>
  <si>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</si>
  <si>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</si>
  <si>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</si>
  <si>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</si>
  <si>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</si>
  <si>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</si>
  <si>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</si>
  <si>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</si>
  <si>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</si>
  <si>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</si>
  <si>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</si>
  <si>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</si>
  <si>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</si>
  <si>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</si>
  <si>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</si>
  <si>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</si>
  <si>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</si>
  <si>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</si>
  <si>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</si>
  <si>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</si>
  <si>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</si>
  <si>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</si>
  <si>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</si>
  <si>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</si>
  <si>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</si>
  <si>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</si>
  <si>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</si>
  <si>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</si>
  <si>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</si>
  <si>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</si>
  <si>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</si>
  <si>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</si>
  <si>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</si>
  <si>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</si>
  <si>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</si>
  <si>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</si>
  <si>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</si>
  <si>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</si>
  <si>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</si>
  <si>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</si>
  <si>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</si>
  <si>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</si>
  <si>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</si>
  <si>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</si>
  <si>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</si>
  <si>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</si>
  <si>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</si>
  <si>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</si>
  <si>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</si>
  <si>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</si>
  <si>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</si>
  <si>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</si>
  <si>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</si>
  <si>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</si>
  <si>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</si>
  <si>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</si>
  <si>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</si>
  <si>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</si>
  <si>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</si>
  <si>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</si>
  <si>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</si>
  <si>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</si>
  <si>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</si>
  <si>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</si>
  <si>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</si>
  <si>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</si>
  <si>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</si>
  <si>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</si>
  <si>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</si>
  <si>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</si>
  <si>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</si>
  <si>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</si>
  <si>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</si>
  <si>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</si>
  <si>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</si>
  <si>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</si>
  <si>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</si>
  <si>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</si>
  <si>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</si>
  <si>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</si>
  <si>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</si>
  <si>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</si>
  <si>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</si>
  <si>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</si>
  <si>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</si>
  <si>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</si>
  <si>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</si>
  <si>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</si>
  <si>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</si>
  <si>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</si>
  <si>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</si>
  <si>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</si>
  <si>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</si>
  <si>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</si>
  <si>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</si>
  <si>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</si>
  <si>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</si>
  <si>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</si>
  <si>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</si>
  <si>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</si>
  <si>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</si>
  <si>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</si>
  <si>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</si>
  <si>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</si>
  <si>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</si>
  <si>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</si>
  <si>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</si>
  <si>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</si>
  <si>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</si>
  <si>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</si>
  <si>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</si>
  <si>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</si>
  <si>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</si>
  <si>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</si>
  <si>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</si>
  <si>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</si>
  <si>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</si>
  <si>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</si>
  <si>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</si>
  <si>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</si>
  <si>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</si>
  <si>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</si>
  <si>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</si>
  <si>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</si>
  <si>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</si>
  <si>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</si>
  <si>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</si>
  <si>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</si>
  <si>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</si>
  <si>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</si>
  <si>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</si>
  <si>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</si>
  <si>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</si>
  <si>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</si>
  <si>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</si>
  <si>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</si>
  <si>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</si>
  <si>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</si>
  <si>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</si>
  <si>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</si>
  <si>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</si>
  <si>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</si>
  <si>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</si>
  <si>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</si>
  <si>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</si>
  <si>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</si>
  <si>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</si>
  <si>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</si>
  <si>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</si>
  <si>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</si>
  <si>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</si>
  <si>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</si>
  <si>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</si>
  <si>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</si>
  <si>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</si>
  <si>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</si>
  <si>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</si>
  <si>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</si>
  <si>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</si>
  <si>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</si>
  <si>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</si>
  <si>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</si>
  <si>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</si>
  <si>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</si>
  <si>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</si>
  <si>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</si>
  <si>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</si>
  <si>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</si>
  <si>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</si>
  <si>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</si>
  <si>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</si>
  <si>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</si>
  <si>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</si>
  <si>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</si>
  <si>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</si>
  <si>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</si>
  <si>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</si>
  <si>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</si>
  <si>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</si>
  <si>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</si>
  <si>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</si>
  <si>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</si>
  <si>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</si>
  <si>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</si>
  <si>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</si>
  <si>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</si>
  <si>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</si>
  <si>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</si>
  <si>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</si>
  <si>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</si>
  <si>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</si>
  <si>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</si>
  <si>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</si>
  <si>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</si>
  <si>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</si>
  <si>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</si>
  <si>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</si>
  <si>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</si>
  <si>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</si>
  <si>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</si>
  <si>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</si>
  <si>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</si>
  <si>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</si>
  <si>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</si>
  <si>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</si>
  <si>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</si>
  <si>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</si>
  <si>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</si>
  <si>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</si>
  <si>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</si>
  <si>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</si>
  <si>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</si>
  <si>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</si>
  <si>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</si>
  <si>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</si>
  <si>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</si>
  <si>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</si>
  <si>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</si>
  <si>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</si>
  <si>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</si>
  <si>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</si>
  <si>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</si>
  <si>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</si>
  <si>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</si>
  <si>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</si>
  <si>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</si>
  <si>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</si>
  <si>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</si>
  <si>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</si>
  <si>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</si>
  <si>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</si>
  <si>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</si>
  <si>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</si>
  <si>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</si>
  <si>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</si>
  <si>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</si>
  <si>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</si>
  <si>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</si>
  <si>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</si>
  <si>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</si>
  <si>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</si>
  <si>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</si>
  <si>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</si>
  <si>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</si>
  <si>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</si>
  <si>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</si>
  <si>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</si>
  <si>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</si>
  <si>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</si>
  <si>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</si>
  <si>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</si>
  <si>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</si>
  <si>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</si>
  <si>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</si>
  <si>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</si>
  <si>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</si>
  <si>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</si>
  <si>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</si>
  <si>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</si>
  <si>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</si>
  <si>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</si>
  <si>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</si>
  <si>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</si>
  <si>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</si>
  <si>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</si>
  <si>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</si>
  <si>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</si>
  <si>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</si>
  <si>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</si>
  <si>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</si>
  <si>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</si>
  <si>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</si>
  <si>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</si>
  <si>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</si>
  <si>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</si>
  <si>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</si>
  <si>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</si>
  <si>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</si>
  <si>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</si>
  <si>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</si>
  <si>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</si>
  <si>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</si>
  <si>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</si>
  <si>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</si>
  <si>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</si>
  <si>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</si>
  <si>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</si>
  <si>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</si>
  <si>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</si>
  <si>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</si>
  <si>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</si>
  <si>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</si>
  <si>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</si>
  <si>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</si>
  <si>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</si>
  <si>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</si>
  <si>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</si>
  <si>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</si>
  <si>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</si>
  <si>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</si>
  <si>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</si>
  <si>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</si>
  <si>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</si>
  <si>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</si>
  <si>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</si>
  <si>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</si>
  <si>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</si>
  <si>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</si>
  <si>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</si>
  <si>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</si>
  <si>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</si>
  <si>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</si>
  <si>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</si>
  <si>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</si>
  <si>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</si>
  <si>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</si>
  <si>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</si>
  <si>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</si>
  <si>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</si>
  <si>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</si>
  <si>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</si>
  <si>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</si>
  <si>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</si>
  <si>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</si>
  <si>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</si>
  <si>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</si>
  <si>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</si>
  <si>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</si>
  <si>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</si>
  <si>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</si>
  <si>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</si>
  <si>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</si>
  <si>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</si>
  <si>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</si>
  <si>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</si>
  <si>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</si>
  <si>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</si>
  <si>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</si>
  <si>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</si>
  <si>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</si>
  <si>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</si>
  <si>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</si>
  <si>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</si>
  <si>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</si>
  <si>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</si>
  <si>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</si>
  <si>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</si>
  <si>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</si>
  <si>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</si>
  <si>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</si>
  <si>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</si>
  <si>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</si>
  <si>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</si>
  <si>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</si>
  <si>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</si>
  <si>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</si>
  <si>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</si>
  <si>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</si>
  <si>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</si>
  <si>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</si>
  <si>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</si>
  <si>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</si>
  <si>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</si>
  <si>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</si>
  <si>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</si>
  <si>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</si>
  <si>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</si>
  <si>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</si>
  <si>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</si>
  <si>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</si>
  <si>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</si>
  <si>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</si>
  <si>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</si>
  <si>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</si>
  <si>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</si>
  <si>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</si>
  <si>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</si>
  <si>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</si>
  <si>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</si>
  <si>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</si>
  <si>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</si>
  <si>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</si>
  <si>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</si>
  <si>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</si>
  <si>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</si>
  <si>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</si>
  <si>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</si>
  <si>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</si>
  <si>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</si>
  <si>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</si>
  <si>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</si>
  <si>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</si>
  <si>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</si>
  <si>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</si>
  <si>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</si>
  <si>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</si>
  <si>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</si>
  <si>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</si>
  <si>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</si>
  <si>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</si>
  <si>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</si>
  <si>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</si>
  <si>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</si>
  <si>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</si>
  <si>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</si>
  <si>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</si>
  <si>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</si>
  <si>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</si>
  <si>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</si>
  <si>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</si>
  <si>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</si>
  <si>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</si>
  <si>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</si>
  <si>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</si>
  <si>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</si>
  <si>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</si>
  <si>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</si>
  <si>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</si>
  <si>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</si>
  <si>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</si>
  <si>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</si>
  <si>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</si>
  <si>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</si>
  <si>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</si>
  <si>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</si>
  <si>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</si>
  <si>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</si>
  <si>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</si>
  <si>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</si>
  <si>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</si>
  <si>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</si>
  <si>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</si>
  <si>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</si>
  <si>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</si>
  <si>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</si>
  <si>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</si>
  <si>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</si>
  <si>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</si>
  <si>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</si>
  <si>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</si>
  <si>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</si>
  <si>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</si>
  <si>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</si>
  <si>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</si>
  <si>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</si>
  <si>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</si>
  <si>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</si>
  <si>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</si>
  <si>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</si>
  <si>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</si>
  <si>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</si>
  <si>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</si>
  <si>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</si>
  <si>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</si>
  <si>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</si>
  <si>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</si>
  <si>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</si>
  <si>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</si>
  <si>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</si>
  <si>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</si>
  <si>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</si>
  <si>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</si>
  <si>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</si>
  <si>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</si>
  <si>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</si>
  <si>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</si>
  <si>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</si>
  <si>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</si>
  <si>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</si>
  <si>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</si>
  <si>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</si>
  <si>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</si>
  <si>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</si>
  <si>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</si>
  <si>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</si>
  <si>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</si>
  <si>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</si>
  <si>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</si>
  <si>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</si>
  <si>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</si>
  <si>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</si>
  <si>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</si>
  <si>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</si>
  <si>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</si>
  <si>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</si>
  <si>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</si>
  <si>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</si>
  <si>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</si>
  <si>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</si>
  <si>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</si>
  <si>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</si>
  <si>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</si>
  <si>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</si>
  <si>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</si>
  <si>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</si>
  <si>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</si>
  <si>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</si>
  <si>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</si>
  <si>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</si>
  <si>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</si>
  <si>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</si>
  <si>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</si>
  <si>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</si>
  <si>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</si>
  <si>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</si>
  <si>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</si>
  <si>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</si>
  <si>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</si>
  <si>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</si>
  <si>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</si>
  <si>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</si>
  <si>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</si>
  <si>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</si>
  <si>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</si>
  <si>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</si>
  <si>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</si>
  <si>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</si>
  <si>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</si>
  <si>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</si>
  <si>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</si>
  <si>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</si>
  <si>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</si>
  <si>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</si>
  <si>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</si>
  <si>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</si>
  <si>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</si>
  <si>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</si>
  <si>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</si>
  <si>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</si>
  <si>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</si>
  <si>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</si>
  <si>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</si>
  <si>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</si>
  <si>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</si>
  <si>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</si>
  <si>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</si>
  <si>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</si>
  <si>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</si>
  <si>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</si>
  <si>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</si>
  <si>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</si>
  <si>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</si>
  <si>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</si>
  <si>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</si>
  <si>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</si>
  <si>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</si>
  <si>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</si>
  <si>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</si>
  <si>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</si>
  <si>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</si>
  <si>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</si>
  <si>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</si>
  <si>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</si>
  <si>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</si>
  <si>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</si>
  <si>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</si>
  <si>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</si>
  <si>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</si>
  <si>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</si>
  <si>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</si>
  <si>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</si>
  <si>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</si>
  <si>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</si>
  <si>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</si>
  <si>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</si>
  <si>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</si>
  <si>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</si>
  <si>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</si>
  <si>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</si>
  <si>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</si>
  <si>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</si>
  <si>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</si>
  <si>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</si>
  <si>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</si>
  <si>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</si>
  <si>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</si>
  <si>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</si>
  <si>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</si>
  <si>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</si>
  <si>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</si>
  <si>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</si>
  <si>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</si>
  <si>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</si>
  <si>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</si>
  <si>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</si>
  <si>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</si>
  <si>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</si>
  <si>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</si>
  <si>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</si>
  <si>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</si>
  <si>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</si>
  <si>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</si>
  <si>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</si>
  <si>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</si>
  <si>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</si>
  <si>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</si>
  <si>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</si>
  <si>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</si>
  <si>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</si>
  <si>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</si>
  <si>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</si>
  <si>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</si>
  <si>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</si>
  <si>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</si>
  <si>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</si>
  <si>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</si>
  <si>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</si>
  <si>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</si>
  <si>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</si>
  <si>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</si>
  <si>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</si>
  <si>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</si>
  <si>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</si>
  <si>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</si>
  <si>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</si>
  <si>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</si>
  <si>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</si>
  <si>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</si>
  <si>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</si>
  <si>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</si>
  <si>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</si>
  <si>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</si>
  <si>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</si>
  <si>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</si>
  <si>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</si>
  <si>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</si>
  <si>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</si>
  <si>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</si>
  <si>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</si>
  <si>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</si>
  <si>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</si>
  <si>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</si>
  <si>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</si>
  <si>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</si>
  <si>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</si>
  <si>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</si>
  <si>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</si>
  <si>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</si>
  <si>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</si>
  <si>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</si>
  <si>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</si>
  <si>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</si>
  <si>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</si>
  <si>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</si>
  <si>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</si>
  <si>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</si>
  <si>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</si>
  <si>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</si>
  <si>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</si>
  <si>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</si>
  <si>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</si>
  <si>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</si>
  <si>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</si>
  <si>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</si>
  <si>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</si>
  <si>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</si>
  <si>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</si>
  <si>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</si>
  <si>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</si>
  <si>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</si>
  <si>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</si>
  <si>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</si>
  <si>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</si>
  <si>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</si>
  <si>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</si>
  <si>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</si>
  <si>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</si>
  <si>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</si>
  <si>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</si>
  <si>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</si>
  <si>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</si>
  <si>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</si>
  <si>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</si>
  <si>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</si>
  <si>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</si>
  <si>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</si>
  <si>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</si>
  <si>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</si>
  <si>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</si>
  <si>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</si>
  <si>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</si>
  <si>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</si>
  <si>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</si>
  <si>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</si>
  <si>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</si>
  <si>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</si>
  <si>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</si>
  <si>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</si>
  <si>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</si>
  <si>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</si>
  <si>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</si>
  <si>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</si>
  <si>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</si>
  <si>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</si>
  <si>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</si>
  <si>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</si>
  <si>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</si>
  <si>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</si>
  <si>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</si>
  <si>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</si>
  <si>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</si>
  <si>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</si>
  <si>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</si>
  <si>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</si>
  <si>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</si>
  <si>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</si>
  <si>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</si>
  <si>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</si>
  <si>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</si>
  <si>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</si>
  <si>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</si>
  <si>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</si>
  <si>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</si>
  <si>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</si>
  <si>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</si>
  <si>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</si>
  <si>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</si>
  <si>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</si>
  <si>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</si>
  <si>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</si>
  <si>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</si>
  <si>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</si>
  <si>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</si>
  <si>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</si>
  <si>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</si>
  <si>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</si>
  <si>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</si>
  <si>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</si>
  <si>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</si>
  <si>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</si>
  <si>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</si>
  <si>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</si>
  <si>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</si>
  <si>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</si>
  <si>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</si>
  <si>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</si>
  <si>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</si>
  <si>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</si>
  <si>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</si>
  <si>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</si>
  <si>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</si>
  <si>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</si>
  <si>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</si>
  <si>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</si>
  <si>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</si>
  <si>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</si>
  <si>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</si>
  <si>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</si>
  <si>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</si>
  <si>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</si>
  <si>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</si>
  <si>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</si>
  <si>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</si>
  <si>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</si>
  <si>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</si>
  <si>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</si>
  <si>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</si>
  <si>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</si>
  <si>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</si>
  <si>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</si>
  <si>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</si>
  <si>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</si>
  <si>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</si>
  <si>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</si>
  <si>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</si>
  <si>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</si>
  <si>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</si>
  <si>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</si>
  <si>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</si>
  <si>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</si>
  <si>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</si>
  <si>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</si>
  <si>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</si>
  <si>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</si>
  <si>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</si>
  <si>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</si>
  <si>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</si>
  <si>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</si>
  <si>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</si>
  <si>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</si>
  <si>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</si>
  <si>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</si>
  <si>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</si>
  <si>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</si>
  <si>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</si>
  <si>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</si>
  <si>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</si>
  <si>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</si>
  <si>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</si>
  <si>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</si>
  <si>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</si>
  <si>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</si>
  <si>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</si>
  <si>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</si>
  <si>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</si>
  <si>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</si>
  <si>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</si>
  <si>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</si>
  <si>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</si>
  <si>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</si>
  <si>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</si>
  <si>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</si>
  <si>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</si>
  <si>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</si>
  <si>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</si>
  <si>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</si>
  <si>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</si>
  <si>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</si>
  <si>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</si>
  <si>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</si>
  <si>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</si>
  <si>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</si>
  <si>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</si>
  <si>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</si>
  <si>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</si>
  <si>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</si>
  <si>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</si>
  <si>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</si>
  <si>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</si>
  <si>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</si>
  <si>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</si>
  <si>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</si>
  <si>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</si>
  <si>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</si>
  <si>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</si>
  <si>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</si>
  <si>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</si>
  <si>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</si>
  <si>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</si>
  <si>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</si>
  <si>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</si>
  <si>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</si>
  <si>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</si>
  <si>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</si>
  <si>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</si>
  <si>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</si>
  <si>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</si>
  <si>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</si>
  <si>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</si>
  <si>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</si>
  <si>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</si>
  <si>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</si>
  <si>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</si>
  <si>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</si>
  <si>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</si>
  <si>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</si>
  <si>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</si>
  <si>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</si>
  <si>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</si>
  <si>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</si>
  <si>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</si>
  <si>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</si>
  <si>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</si>
  <si>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</si>
  <si>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</si>
  <si>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</si>
  <si>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</si>
  <si>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</si>
  <si>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</si>
  <si>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</si>
  <si>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</si>
  <si>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</si>
  <si>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</si>
  <si>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</si>
  <si>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</si>
  <si>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</si>
  <si>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</si>
  <si>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</si>
  <si>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</si>
  <si>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</si>
  <si>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</si>
  <si>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</si>
  <si>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</si>
  <si>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</si>
  <si>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</si>
  <si>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</si>
  <si>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</si>
  <si>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</si>
  <si>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</si>
  <si>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</si>
  <si>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</si>
  <si>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</si>
  <si>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</si>
  <si>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</si>
  <si>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</si>
  <si>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</si>
  <si>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</si>
  <si>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</si>
  <si>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</si>
  <si>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</si>
  <si>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</si>
  <si>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</si>
  <si>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</si>
  <si>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</si>
  <si>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</si>
  <si>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</si>
  <si>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</si>
  <si>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</si>
  <si>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</si>
  <si>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</si>
  <si>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</si>
  <si>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</si>
  <si>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</si>
  <si>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</si>
  <si>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</si>
  <si>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</si>
  <si>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</si>
  <si>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</si>
  <si>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</si>
  <si>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</si>
  <si>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</si>
  <si>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</si>
  <si>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</si>
  <si>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</si>
  <si>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</si>
  <si>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</si>
  <si>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</si>
  <si>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</si>
  <si>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</si>
  <si>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</si>
  <si>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</si>
  <si>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</si>
  <si>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</si>
  <si>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</si>
  <si>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</si>
  <si>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</si>
  <si>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</si>
  <si>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</si>
  <si>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</si>
  <si>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</si>
  <si>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</si>
  <si>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</si>
  <si>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</si>
  <si>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</si>
  <si>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</si>
  <si>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</si>
  <si>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</si>
  <si>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</si>
  <si>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</si>
  <si>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</si>
  <si>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</si>
  <si>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</si>
  <si>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</si>
  <si>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</si>
  <si>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</si>
  <si>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</si>
  <si>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</si>
  <si>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</si>
  <si>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</si>
  <si>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</si>
  <si>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</si>
  <si>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</si>
  <si>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</si>
  <si>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</si>
  <si>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</si>
  <si>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</si>
  <si>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</si>
  <si>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</si>
  <si>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</si>
  <si>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</si>
  <si>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</si>
  <si>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</si>
  <si>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</si>
  <si>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</si>
  <si>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</si>
  <si>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</si>
  <si>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</si>
  <si>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</si>
  <si>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</si>
  <si>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</si>
  <si>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</si>
  <si>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</si>
  <si>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</si>
  <si>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</si>
  <si>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</si>
  <si>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</si>
  <si>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</si>
  <si>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</si>
  <si>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</si>
  <si>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</si>
  <si>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</si>
  <si>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</si>
  <si>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</si>
  <si>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</si>
  <si>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</si>
  <si>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</si>
  <si>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</si>
  <si>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</si>
  <si>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</si>
  <si>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</si>
  <si>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</si>
  <si>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</si>
  <si>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</si>
  <si>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</si>
  <si>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</si>
  <si>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</si>
  <si>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</si>
  <si>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</si>
  <si>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</si>
  <si>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</si>
  <si>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</si>
  <si>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</si>
  <si>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</si>
  <si>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</si>
  <si>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</si>
  <si>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</si>
  <si>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</si>
  <si>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</si>
  <si>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</si>
  <si>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</si>
  <si>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</si>
  <si>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</si>
  <si>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</si>
  <si>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</si>
  <si>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</si>
  <si>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</si>
  <si>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</si>
  <si>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</si>
  <si>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</si>
  <si>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</si>
  <si>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</si>
  <si>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</si>
  <si>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</si>
  <si>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</si>
  <si>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</si>
  <si>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</si>
  <si>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</si>
  <si>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</si>
  <si>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</si>
  <si>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</si>
  <si>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</si>
  <si>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</si>
  <si>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</si>
  <si>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</si>
  <si>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</si>
  <si>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</si>
  <si>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</si>
  <si>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</si>
  <si>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</si>
  <si>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</si>
  <si>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</si>
  <si>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</si>
  <si>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</si>
  <si>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</si>
  <si>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</si>
  <si>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</si>
  <si>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</si>
  <si>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</si>
  <si>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</si>
  <si>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</si>
  <si>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</si>
  <si>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</si>
  <si>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</si>
  <si>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</si>
  <si>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</si>
  <si>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</si>
  <si>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</si>
  <si>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</si>
  <si>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</si>
  <si>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</si>
  <si>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</si>
  <si>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</si>
  <si>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</si>
  <si>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</si>
  <si>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</si>
  <si>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</si>
  <si>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</si>
  <si>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</si>
  <si>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</si>
  <si>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</si>
  <si>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</si>
  <si>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</si>
  <si>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</si>
  <si>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</si>
  <si>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</si>
  <si>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</si>
  <si>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</si>
  <si>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</si>
  <si>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</si>
  <si>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</si>
  <si>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</si>
  <si>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</si>
  <si>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</si>
  <si>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</si>
  <si>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</si>
  <si>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</si>
  <si>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</si>
  <si>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</si>
  <si>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</si>
  <si>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</si>
  <si>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</si>
  <si>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</si>
  <si>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</si>
  <si>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</si>
  <si>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</si>
  <si>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</si>
  <si>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</si>
  <si>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</si>
  <si>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</si>
  <si>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</si>
  <si>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</si>
  <si>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</si>
  <si>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</si>
  <si>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</si>
  <si>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</si>
  <si>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</si>
  <si>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</si>
  <si>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</si>
  <si>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</si>
  <si>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</si>
  <si>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</si>
  <si>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</si>
  <si>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</si>
  <si>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</si>
  <si>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</si>
  <si>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</si>
  <si>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</si>
  <si>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</si>
  <si>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</si>
  <si>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</si>
  <si>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</si>
  <si>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</si>
  <si>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</si>
  <si>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</si>
  <si>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</si>
  <si>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</si>
  <si>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</si>
  <si>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</si>
  <si>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</si>
  <si>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</si>
  <si>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</si>
  <si>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</si>
  <si>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</si>
  <si>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</si>
  <si>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</si>
  <si>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</si>
  <si>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</si>
  <si>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</si>
  <si>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</si>
  <si>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</si>
  <si>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</si>
  <si>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</si>
  <si>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</si>
  <si>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</si>
  <si>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</si>
  <si>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</si>
  <si>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</si>
  <si>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</si>
  <si>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</si>
  <si>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</si>
  <si>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</si>
  <si>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</si>
  <si>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</si>
  <si>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</si>
  <si>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</si>
  <si>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</si>
  <si>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</si>
  <si>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</si>
  <si>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</si>
  <si>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</si>
  <si>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</si>
  <si>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</si>
  <si>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</si>
  <si>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</si>
  <si>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</si>
  <si>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</si>
  <si>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</si>
  <si>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</si>
  <si>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</si>
  <si>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</si>
  <si>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</si>
  <si>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</si>
  <si>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</si>
  <si>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</si>
  <si>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</si>
  <si>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</si>
  <si>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</si>
  <si>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</si>
  <si>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</si>
  <si>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</si>
  <si>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</si>
  <si>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</si>
  <si>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</si>
  <si>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</si>
  <si>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</si>
  <si>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</si>
  <si>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</si>
  <si>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</si>
  <si>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</si>
  <si>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</si>
  <si>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</si>
  <si>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</si>
  <si>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</si>
  <si>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</si>
  <si>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</si>
  <si>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</si>
  <si>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</si>
  <si>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</si>
  <si>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</si>
  <si>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</si>
  <si>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</si>
  <si>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</si>
  <si>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</si>
  <si>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</si>
  <si>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</si>
  <si>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</si>
  <si>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</si>
  <si>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</si>
  <si>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</si>
  <si>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</si>
  <si>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</si>
  <si>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</si>
  <si>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</si>
  <si>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</si>
  <si>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</si>
  <si>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</si>
  <si>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</si>
  <si>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</si>
  <si>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</si>
  <si>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</si>
  <si>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</si>
  <si>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</si>
  <si>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</si>
  <si>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</si>
  <si>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</si>
  <si>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</si>
  <si>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</si>
  <si>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</si>
  <si>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</si>
  <si>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</si>
  <si>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</si>
  <si>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</si>
  <si>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</si>
  <si>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</si>
  <si>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</si>
  <si>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</si>
  <si>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</si>
  <si>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</si>
  <si>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</si>
  <si>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</si>
  <si>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</si>
  <si>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</si>
  <si>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</si>
  <si>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</si>
  <si>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</si>
  <si>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</si>
  <si>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</si>
  <si>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</si>
  <si>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</si>
  <si>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</si>
  <si>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</si>
  <si>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</si>
  <si>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</si>
  <si>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</si>
  <si>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</si>
  <si>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</si>
  <si>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</si>
  <si>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</si>
  <si>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</si>
  <si>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</si>
  <si>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</si>
  <si>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</si>
  <si>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</si>
  <si>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</si>
  <si>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</si>
  <si>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</si>
  <si>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</si>
  <si>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</si>
  <si>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</si>
  <si>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</si>
  <si>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</si>
  <si>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</si>
  <si>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</si>
  <si>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</si>
  <si>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</si>
  <si>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VAR</t>
  </si>
  <si>
    <t xml:space="preserve">Nice</t>
  </si>
  <si>
    <t xml:space="preserve">06213000</t>
  </si>
  <si>
    <t xml:space="preserve">7178b - IBMR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</si>
  <si>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</si>
  <si>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</si>
  <si>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</si>
  <si>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</si>
  <si>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</si>
  <si>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</si>
  <si>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</si>
  <si>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</si>
  <si>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</si>
  <si>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</si>
  <si>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</si>
  <si>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</si>
  <si>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</si>
  <si>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</si>
  <si>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</si>
  <si>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</si>
  <si>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</si>
  <si>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</si>
  <si>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</si>
  <si>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</si>
  <si>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</si>
  <si>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</si>
  <si>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</si>
  <si>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</si>
  <si>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</si>
  <si>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</si>
  <si>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</si>
  <si>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</si>
  <si>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</si>
  <si>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</si>
  <si>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</si>
  <si>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</si>
  <si>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</si>
  <si>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</si>
  <si>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</si>
  <si>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</si>
  <si>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</si>
  <si>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</si>
  <si>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</si>
  <si>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</si>
  <si>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</si>
  <si>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</si>
  <si>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</si>
  <si>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</si>
  <si>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</si>
  <si>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</si>
  <si>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</si>
  <si>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</si>
  <si>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</si>
  <si>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(0,6588 %)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</si>
  <si>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</si>
  <si>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</si>
  <si>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</si>
  <si>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</si>
  <si>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</si>
  <si>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</si>
  <si>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</si>
  <si>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</si>
  <si>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</si>
  <si>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</si>
  <si>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</si>
  <si>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</si>
  <si>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</si>
  <si>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</si>
  <si>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</si>
  <si>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</si>
  <si>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</si>
  <si>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</si>
  <si>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</si>
  <si>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Equisetum ramosissimum</t>
  </si>
  <si>
    <t xml:space="preserve">Petasites pyrenaicus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</si>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</sst>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9.64705882352941</v>
      </c>
      <c r="M5" s="323"/>
      <c r="N5" s="324" t="s">
        <v>228</v>
      </c>
      <c r="O5" s="325" t="n">
        <v>9.2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97</v>
      </c>
      <c r="C7" s="337" t="n">
        <v>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8.07692307692308</v>
      </c>
      <c r="O8" s="354" t="n">
        <f aca="false">IF(ISERROR(AVERAGE(J23:J82)),"      -",AVERAGE(J23:J82))</f>
        <v>1.23076923076923</v>
      </c>
      <c r="P8" s="355"/>
      <c r="Q8" s="280"/>
      <c r="R8" s="280"/>
      <c r="S8" s="280"/>
      <c r="T8" s="280"/>
      <c r="U8" s="280"/>
      <c r="V8" s="280"/>
      <c r="W8" s="292"/>
      <c r="X8" s="293"/>
    </row>
    <row r="9" customFormat="false" ht="13.5" hidden="false" customHeight="false" outlineLevel="0" collapsed="false">
      <c r="A9" s="313" t="s">
        <v>2635</v>
      </c>
      <c r="B9" s="356" t="n">
        <v>0.6</v>
      </c>
      <c r="C9" s="357" t="n">
        <v>2.1</v>
      </c>
      <c r="D9" s="358"/>
      <c r="E9" s="358"/>
      <c r="F9" s="359" t="n">
        <f aca="false">($B9*$B$7+$C9*$C$7)/100</f>
        <v>0.645</v>
      </c>
      <c r="G9" s="360"/>
      <c r="H9" s="361"/>
      <c r="I9" s="362"/>
      <c r="J9" s="363"/>
      <c r="K9" s="343"/>
      <c r="L9" s="364"/>
      <c r="M9" s="353" t="s">
        <v>2636</v>
      </c>
      <c r="N9" s="354" t="n">
        <f aca="false">IF(ISERROR(STDEVP(I23:I82)),"     -",STDEVP(I23:I82))</f>
        <v>4.37583466256243</v>
      </c>
      <c r="O9" s="354" t="n">
        <f aca="false">IF(ISERROR(STDEVP(J23:J82)),"      -",STDEVP(J23:J82))</f>
        <v>0.696568087549032</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15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6</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0.615</v>
      </c>
      <c r="C20" s="436" t="n">
        <f aca="false">SUM(C23:C82)</f>
        <v>2.075</v>
      </c>
      <c r="D20" s="437"/>
      <c r="E20" s="438" t="s">
        <v>2660</v>
      </c>
      <c r="F20" s="439" t="n">
        <f aca="false">($B20*$B$7+$C20*$C$7)/100</f>
        <v>0.6588</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0.59655</v>
      </c>
      <c r="C21" s="449" t="n">
        <f aca="false">C20*C7/100</f>
        <v>0.06225</v>
      </c>
      <c r="D21" s="381" t="str">
        <f aca="false">IF(F21=0,"",IF((ABS(F21-F19))&gt;(0.2*F21),CONCATENATE(" rec. par taxa (",F21," %) supérieur à 20 % !"),""))</f>
        <v> rec. par taxa (0,6588 %) supérieur à 20 % !</v>
      </c>
      <c r="E21" s="450" t="str">
        <f aca="false">IF(F21=0,"",IF((ABS(F21-F19))&gt;(0.2*F21),CONCATENATE("ATTENTION : écart entre rec. par grp (",F19," %) ","et",""),""))</f>
        <v>ATTENTION : écart entre rec. par grp (0 %) et</v>
      </c>
      <c r="F21" s="451" t="n">
        <f aca="false">B21+C21</f>
        <v>0.6588</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0.5</v>
      </c>
      <c r="C23" s="476" t="n">
        <v>0.005</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0.48515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0.48515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220</v>
      </c>
      <c r="B24" s="494" t="n">
        <v>0.005</v>
      </c>
      <c r="C24" s="495"/>
      <c r="D24" s="477" t="str">
        <f aca="false">IF(ISERROR(VLOOKUP($A24,'liste reference'!$A$7:$D$904,2,0)),IF(ISERROR(VLOOKUP($A24,'liste reference'!$B$7:$D$904,1,0)),"",VLOOKUP($A24,'liste reference'!$B$7:$D$904,1,0)),VLOOKUP($A24,'liste reference'!$A$7:$D$904,2,0))</f>
        <v>Nostoc sp.</v>
      </c>
      <c r="E24" s="496" t="e">
        <f aca="false">IF(D24="",0,VLOOKUP(D24,D$22:D23,1,0))</f>
        <v>#N/A</v>
      </c>
      <c r="F24" s="497" t="n">
        <f aca="false">($B24*$B$7+$C24*$C$7)/100</f>
        <v>0.00485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9</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Nostoc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1105</v>
      </c>
      <c r="Q24" s="486" t="n">
        <f aca="false">IF(ISTEXT(H24),"",(B24*$B$7/100)+(C24*$C$7/100))</f>
        <v>0.00485</v>
      </c>
      <c r="R24" s="487" t="n">
        <f aca="false">IF(OR(ISTEXT(H24),Q24=0),"",IF(Q24&lt;0.1,1,IF(Q24&lt;1,2,IF(Q24&lt;10,3,IF(Q24&lt;50,4,IF(Q24&gt;=50,5,""))))))</f>
        <v>1</v>
      </c>
      <c r="S24" s="487" t="n">
        <f aca="false">IF(ISERROR(R24*I24),0,R24*I24)</f>
        <v>9</v>
      </c>
      <c r="T24" s="487" t="n">
        <f aca="false">IF(ISERROR(R24*I24*J24),0,R24*I24*J24)</f>
        <v>9</v>
      </c>
      <c r="U24" s="499" t="n">
        <f aca="false">IF(ISERROR(R24*J24),0,R24*J24)</f>
        <v>1</v>
      </c>
      <c r="V24" s="488" t="str">
        <f aca="false">IF(AND(A24="",F24=0),"",IF(F24=0,"Il manque le(s) % de rec. !",""))</f>
        <v/>
      </c>
      <c r="W24" s="489"/>
      <c r="Y24" s="490" t="str">
        <f aca="false">IF(A24="new.cod","NEWCOD",IF(AND((Z24=""),ISTEXT(A24)),A24,IF(Z24="","",INDEX('liste reference'!$A$8:$A$904,Z24))))</f>
        <v>NOSSPX</v>
      </c>
      <c r="Z24" s="280" t="n">
        <f aca="false">IF(ISERROR(MATCH(A24,'liste reference'!$A$8:$A$904,0)),IF(ISERROR(MATCH(A24,'liste reference'!$B$8:$B$904,0)),"",(MATCH(A24,'liste reference'!$B$8:$B$904,0))),(MATCH(A24,'liste reference'!$A$8:$A$904,0)))</f>
        <v>54</v>
      </c>
      <c r="AA24" s="491"/>
      <c r="AB24" s="492"/>
      <c r="AC24" s="492"/>
      <c r="BB24" s="280" t="n">
        <f aca="false">IF(A24="","",1)</f>
        <v>1</v>
      </c>
    </row>
    <row r="25" customFormat="false" ht="12.75" hidden="false" customHeight="false" outlineLevel="0" collapsed="false">
      <c r="A25" s="493" t="s">
        <v>223</v>
      </c>
      <c r="B25" s="494" t="n">
        <v>0.005</v>
      </c>
      <c r="C25" s="495"/>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0.00485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0.00485</v>
      </c>
      <c r="R25" s="487" t="n">
        <f aca="false">IF(OR(ISTEXT(H25),Q25=0),"",IF(Q25&lt;0.1,1,IF(Q25&lt;1,2,IF(Q25&lt;10,3,IF(Q25&lt;50,4,IF(Q25&gt;=50,5,""))))))</f>
        <v>1</v>
      </c>
      <c r="S25" s="487" t="n">
        <f aca="false">IF(ISERROR(R25*I25),0,R25*I25)</f>
        <v>6</v>
      </c>
      <c r="T25" s="487" t="n">
        <f aca="false">IF(ISERROR(R25*I25*J25),0,R25*I25*J25)</f>
        <v>12</v>
      </c>
      <c r="U25" s="499" t="n">
        <f aca="false">IF(ISERROR(R25*J25),0,R25*J25)</f>
        <v>2</v>
      </c>
      <c r="V25" s="488" t="str">
        <f aca="false">IF(AND(A25="",F25=0),"",IF(F25=0,"Il manque le(s) % de rec. !",""))</f>
        <v/>
      </c>
      <c r="W25" s="489"/>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c r="AC25" s="492"/>
      <c r="BB25" s="280" t="n">
        <f aca="false">IF(A25="","",1)</f>
        <v>1</v>
      </c>
    </row>
    <row r="26" customFormat="false" ht="12.75" hidden="false" customHeight="false" outlineLevel="0" collapsed="false">
      <c r="A26" s="493" t="s">
        <v>228</v>
      </c>
      <c r="B26" s="494" t="n">
        <v>0.005</v>
      </c>
      <c r="C26" s="495" t="n">
        <v>0.005</v>
      </c>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0.005</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X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258</v>
      </c>
      <c r="B27" s="494" t="n">
        <v>0.02</v>
      </c>
      <c r="C27" s="495" t="n">
        <v>0.3</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0.0284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0.0284</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301</v>
      </c>
      <c r="B28" s="494" t="n">
        <v>0.005</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0.00485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0.00485</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2.75" hidden="false" customHeight="false" outlineLevel="0" collapsed="false">
      <c r="A29" s="493" t="s">
        <v>749</v>
      </c>
      <c r="B29" s="494" t="n">
        <v>0.005</v>
      </c>
      <c r="C29" s="495"/>
      <c r="D29" s="477" t="str">
        <f aca="false">IF(ISERROR(VLOOKUP($A29,'liste reference'!$A$7:$D$904,2,0)),IF(ISERROR(VLOOKUP($A29,'liste reference'!$B$7:$D$904,1,0)),"",VLOOKUP($A29,'liste reference'!$B$7:$D$904,1,0)),VLOOKUP($A29,'liste reference'!$A$7:$D$904,2,0))</f>
        <v>Cinclidotus riparius</v>
      </c>
      <c r="E29" s="496" t="e">
        <f aca="false">IF(D29="",0,VLOOKUP(D29,D$22:D28,1,0))</f>
        <v>#N/A</v>
      </c>
      <c r="F29" s="497" t="n">
        <f aca="false">($B29*$B$7+$C29*$C$7)/100</f>
        <v>0.00485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riparius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1321</v>
      </c>
      <c r="Q29" s="486" t="n">
        <f aca="false">IF(ISTEXT(H29),"",(B29*$B$7/100)+(C29*$C$7/100))</f>
        <v>0.00485</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CINRIP</v>
      </c>
      <c r="Z29" s="280" t="n">
        <f aca="false">IF(ISERROR(MATCH(A29,'liste reference'!$A$8:$A$904,0)),IF(ISERROR(MATCH(A29,'liste reference'!$B$8:$B$904,0)),"",(MATCH(A29,'liste reference'!$B$8:$B$904,0))),(MATCH(A29,'liste reference'!$A$8:$A$904,0)))</f>
        <v>174</v>
      </c>
      <c r="AA29" s="491"/>
      <c r="AB29" s="492"/>
      <c r="AC29" s="492"/>
      <c r="BB29" s="280" t="n">
        <f aca="false">IF(A29="","",1)</f>
        <v>1</v>
      </c>
    </row>
    <row r="30" customFormat="false" ht="12.75" hidden="false" customHeight="false" outlineLevel="0" collapsed="false">
      <c r="A30" s="493" t="s">
        <v>852</v>
      </c>
      <c r="B30" s="494" t="n">
        <v>0.005</v>
      </c>
      <c r="C30" s="495"/>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0.00485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0.00485</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2.75" hidden="false" customHeight="false" outlineLevel="0" collapsed="false">
      <c r="A31" s="493" t="s">
        <v>1054</v>
      </c>
      <c r="B31" s="494" t="n">
        <v>0.005</v>
      </c>
      <c r="C31" s="495"/>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0.00485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0.00485</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2.75" hidden="false" customHeight="false" outlineLevel="0" collapsed="false">
      <c r="A32" s="493" t="s">
        <v>1913</v>
      </c>
      <c r="B32" s="494"/>
      <c r="C32" s="495" t="n">
        <v>0.005</v>
      </c>
      <c r="D32" s="477" t="str">
        <f aca="false">IF(ISERROR(VLOOKUP($A32,'liste reference'!$A$7:$D$904,2,0)),IF(ISERROR(VLOOKUP($A32,'liste reference'!$B$7:$D$904,1,0)),"",VLOOKUP($A32,'liste reference'!$B$7:$D$904,1,0)),VLOOKUP($A32,'liste reference'!$A$7:$D$904,2,0))</f>
        <v>Lycopus europaeus</v>
      </c>
      <c r="E32" s="496" t="e">
        <f aca="false">IF(D32="",0,VLOOKUP(D32,D$22:D31,1,0))</f>
        <v>#N/A</v>
      </c>
      <c r="F32" s="497" t="n">
        <f aca="false">($B32*$B$7+$C32*$C$7)/100</f>
        <v>0.00015</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11</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Lycopus europaeus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1789</v>
      </c>
      <c r="Q32" s="486" t="n">
        <f aca="false">IF(ISTEXT(H32),"",(B32*$B$7/100)+(C32*$C$7/100))</f>
        <v>0.00015</v>
      </c>
      <c r="R32" s="487" t="n">
        <f aca="false">IF(OR(ISTEXT(H32),Q32=0),"",IF(Q32&lt;0.1,1,IF(Q32&lt;1,2,IF(Q32&lt;10,3,IF(Q32&lt;50,4,IF(Q32&gt;=50,5,""))))))</f>
        <v>1</v>
      </c>
      <c r="S32" s="487" t="n">
        <f aca="false">IF(ISERROR(R32*I32),0,R32*I32)</f>
        <v>11</v>
      </c>
      <c r="T32" s="487" t="n">
        <f aca="false">IF(ISERROR(R32*I32*J32),0,R32*I32*J32)</f>
        <v>11</v>
      </c>
      <c r="U32" s="499" t="n">
        <f aca="false">IF(ISERROR(R32*J32),0,R32*J32)</f>
        <v>1</v>
      </c>
      <c r="V32" s="488" t="str">
        <f aca="false">IF(AND(A32="",F32=0),"",IF(F32=0,"Il manque le(s) % de rec. !",""))</f>
        <v/>
      </c>
      <c r="W32" s="489"/>
      <c r="Y32" s="490" t="str">
        <f aca="false">IF(A32="new.cod","NEWCOD",IF(AND((Z32=""),ISTEXT(A32)),A32,IF(Z32="","",INDEX('liste reference'!$A$8:$A$904,Z32))))</f>
        <v>LYCEUR</v>
      </c>
      <c r="Z32" s="280" t="n">
        <f aca="false">IF(ISERROR(MATCH(A32,'liste reference'!$A$8:$A$904,0)),IF(ISERROR(MATCH(A32,'liste reference'!$B$8:$B$904,0)),"",(MATCH(A32,'liste reference'!$B$8:$B$904,0))),(MATCH(A32,'liste reference'!$A$8:$A$904,0)))</f>
        <v>596</v>
      </c>
      <c r="AA32" s="491"/>
      <c r="AB32" s="492"/>
      <c r="AC32" s="492"/>
      <c r="BB32" s="280" t="n">
        <f aca="false">IF(A32="","",1)</f>
        <v>1</v>
      </c>
    </row>
    <row r="33" customFormat="false" ht="12.75" hidden="false" customHeight="false" outlineLevel="0" collapsed="false">
      <c r="A33" s="493" t="s">
        <v>2002</v>
      </c>
      <c r="B33" s="494" t="n">
        <v>0.03</v>
      </c>
      <c r="C33" s="495" t="n">
        <v>1.6</v>
      </c>
      <c r="D33" s="477" t="str">
        <f aca="false">IF(ISERROR(VLOOKUP($A33,'liste reference'!$A$7:$D$904,2,0)),IF(ISERROR(VLOOKUP($A33,'liste reference'!$B$7:$D$904,1,0)),"",VLOOKUP($A33,'liste reference'!$B$7:$D$904,1,0)),VLOOKUP($A33,'liste reference'!$A$7:$D$904,2,0))</f>
        <v>Phragmites australis</v>
      </c>
      <c r="E33" s="496" t="e">
        <f aca="false">IF(D33="",0,VLOOKUP(D33,D$22:D32,1,0))</f>
        <v>#N/A</v>
      </c>
      <c r="F33" s="497" t="n">
        <f aca="false">($B33*$B$7+$C33*$C$7)/100</f>
        <v>0.0771</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9</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Phragmites australis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1579</v>
      </c>
      <c r="Q33" s="486" t="n">
        <f aca="false">IF(ISTEXT(H33),"",(B33*$B$7/100)+(C33*$C$7/100))</f>
        <v>0.0771</v>
      </c>
      <c r="R33" s="487" t="n">
        <f aca="false">IF(OR(ISTEXT(H33),Q33=0),"",IF(Q33&lt;0.1,1,IF(Q33&lt;1,2,IF(Q33&lt;10,3,IF(Q33&lt;50,4,IF(Q33&gt;=50,5,""))))))</f>
        <v>1</v>
      </c>
      <c r="S33" s="487" t="n">
        <f aca="false">IF(ISERROR(R33*I33),0,R33*I33)</f>
        <v>9</v>
      </c>
      <c r="T33" s="487" t="n">
        <f aca="false">IF(ISERROR(R33*I33*J33),0,R33*I33*J33)</f>
        <v>18</v>
      </c>
      <c r="U33" s="499" t="n">
        <f aca="false">IF(ISERROR(R33*J33),0,R33*J33)</f>
        <v>2</v>
      </c>
      <c r="V33" s="488" t="str">
        <f aca="false">IF(AND(A33="",F33=0),"",IF(F33=0,"Il manque le(s) % de rec. !",""))</f>
        <v/>
      </c>
      <c r="W33" s="489"/>
      <c r="Y33" s="490" t="str">
        <f aca="false">IF(A33="new.cod","NEWCOD",IF(AND((Z33=""),ISTEXT(A33)),A33,IF(Z33="","",INDEX('liste reference'!$A$8:$A$904,Z33))))</f>
        <v>PHRAUS</v>
      </c>
      <c r="Z33" s="280" t="n">
        <f aca="false">IF(ISERROR(MATCH(A33,'liste reference'!$A$8:$A$904,0)),IF(ISERROR(MATCH(A33,'liste reference'!$B$8:$B$904,0)),"",(MATCH(A33,'liste reference'!$B$8:$B$904,0))),(MATCH(A33,'liste reference'!$A$8:$A$904,0)))</f>
        <v>635</v>
      </c>
      <c r="AA33" s="491"/>
      <c r="AB33" s="492"/>
      <c r="AC33" s="492"/>
      <c r="BB33" s="280" t="n">
        <f aca="false">IF(A33="","",1)</f>
        <v>1</v>
      </c>
    </row>
    <row r="34" customFormat="false" ht="12.75" hidden="false" customHeight="false" outlineLevel="0" collapsed="false">
      <c r="A34" s="493" t="s">
        <v>2147</v>
      </c>
      <c r="B34" s="494" t="n">
        <v>0.005</v>
      </c>
      <c r="C34" s="495" t="n">
        <v>0.15</v>
      </c>
      <c r="D34" s="477" t="str">
        <f aca="false">IF(ISERROR(VLOOKUP($A34,'liste reference'!$A$7:$D$904,2,0)),IF(ISERROR(VLOOKUP($A34,'liste reference'!$B$7:$D$904,1,0)),"",VLOOKUP($A34,'liste reference'!$B$7:$D$904,1,0)),VLOOKUP($A34,'liste reference'!$A$7:$D$904,2,0))</f>
        <v>Arundo donax</v>
      </c>
      <c r="E34" s="496" t="e">
        <f aca="false">IF(D34="",0,VLOOKUP(D34,D$22:D33,1,0))</f>
        <v>#N/A</v>
      </c>
      <c r="F34" s="500" t="n">
        <f aca="false">($B34*$B$7+$C34*$C$7)/100</f>
        <v>0.00935</v>
      </c>
      <c r="G34" s="479" t="str">
        <f aca="false">IF(A34="","",IF(ISERROR(VLOOKUP($A34,'liste reference'!$A$7:$P$904,13,0)),IF(ISERROR(VLOOKUP($A34,'liste reference'!$B$7:$P$904,12,0)),"    -",VLOOKUP($A34,'liste reference'!$B$7:$P$904,12,0)),VLOOKUP($A34,'liste reference'!$A$7:$P$904,13,0)))</f>
        <v>PHg</v>
      </c>
      <c r="H34" s="480" t="n">
        <f aca="false">IF(A34="","x",IF(ISERROR(VLOOKUP($A34,'liste reference'!$A$8:$P$904,14,0)),IF(ISERROR(VLOOKUP($A34,'liste reference'!$B$8:$P$904,13,0)),"x",VLOOKUP($A34,'liste reference'!$B$8:$P$904,13,0)),VLOOKUP($A34,'liste reference'!$A$8:$P$904,14,0)))</f>
        <v>9</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Arundo donax</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1551</v>
      </c>
      <c r="Q34" s="486" t="n">
        <f aca="false">IF(ISTEXT(H34),"",(B34*$B$7/100)+(C34*$C$7/100))</f>
        <v>0.00935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501"/>
      <c r="Y34" s="490" t="str">
        <f aca="false">IF(A34="new.cod","NEWCOD",IF(AND((Z34=""),ISTEXT(A34)),A34,IF(Z34="","",INDEX('liste reference'!$A$8:$A$904,Z34))))</f>
        <v>ARUDON</v>
      </c>
      <c r="Z34" s="280" t="n">
        <f aca="false">IF(ISERROR(MATCH(A34,'liste reference'!$A$8:$A$904,0)),IF(ISERROR(MATCH(A34,'liste reference'!$B$8:$B$904,0)),"",(MATCH(A34,'liste reference'!$B$8:$B$904,0))),(MATCH(A34,'liste reference'!$A$8:$A$904,0)))</f>
        <v>698</v>
      </c>
      <c r="AA34" s="491"/>
      <c r="AB34" s="492"/>
      <c r="AC34" s="492"/>
      <c r="BB34" s="280" t="n">
        <f aca="false">IF(A34="","",1)</f>
        <v>1</v>
      </c>
    </row>
    <row r="35" customFormat="false" ht="12.75" hidden="false" customHeight="false" outlineLevel="0" collapsed="false">
      <c r="A35" s="493" t="s">
        <v>2558</v>
      </c>
      <c r="B35" s="494" t="n">
        <v>0.02</v>
      </c>
      <c r="C35" s="495" t="n">
        <v>0.005</v>
      </c>
      <c r="D35" s="477" t="str">
        <f aca="false">IF(ISERROR(VLOOKUP($A35,'liste reference'!$A$7:$D$904,2,0)),IF(ISERROR(VLOOKUP($A35,'liste reference'!$B$7:$D$904,1,0)),"",VLOOKUP($A35,'liste reference'!$B$7:$D$904,1,0)),VLOOKUP($A35,'liste reference'!$A$7:$D$904,2,0))</f>
        <v>Scirpus maritimus</v>
      </c>
      <c r="E35" s="496" t="e">
        <f aca="false">IF(D35="",0,VLOOKUP(D35,D$22:D34,1,0))</f>
        <v>#N/A</v>
      </c>
      <c r="F35" s="500" t="n">
        <f aca="false">($B35*$B$7+$C35*$C$7)/100</f>
        <v>0.01955</v>
      </c>
      <c r="G35" s="479" t="str">
        <f aca="false">IF(A35="","",IF(ISERROR(VLOOKUP($A35,'liste reference'!$A$7:$P$904,13,0)),IF(ISERROR(VLOOKUP($A35,'liste reference'!$B$7:$P$904,12,0)),"    -",VLOOKUP($A35,'liste reference'!$B$7:$P$904,12,0)),VLOOKUP($A35,'liste reference'!$A$7:$P$904,13,0)))</f>
        <v>PHx</v>
      </c>
      <c r="H35" s="480" t="n">
        <f aca="false">IF(A35="","x",IF(ISERROR(VLOOKUP($A35,'liste reference'!$A$8:$P$904,14,0)),IF(ISERROR(VLOOKUP($A35,'liste reference'!$B$8:$P$904,13,0)),"x",VLOOKUP($A35,'liste reference'!$B$8:$P$904,13,0)),VLOOKUP($A35,'liste reference'!$A$8:$P$904,14,0)))</f>
        <v>10</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Scirpus maritimus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1522</v>
      </c>
      <c r="Q35" s="486" t="n">
        <f aca="false">IF(ISTEXT(H35),"",(B35*$B$7/100)+(C35*$C$7/100))</f>
        <v>0.01955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SCIMAR</v>
      </c>
      <c r="Z35" s="280" t="n">
        <f aca="false">IF(ISERROR(MATCH(A35,'liste reference'!$A$8:$A$904,0)),IF(ISERROR(MATCH(A35,'liste reference'!$B$8:$B$904,0)),"",(MATCH(A35,'liste reference'!$B$8:$B$904,0))),(MATCH(A35,'liste reference'!$A$8:$A$904,0)))</f>
        <v>881</v>
      </c>
      <c r="AA35" s="491"/>
      <c r="AB35" s="492"/>
      <c r="AC35" s="492"/>
      <c r="BB35" s="280" t="n">
        <f aca="false">IF(A35="","",1)</f>
        <v>1</v>
      </c>
    </row>
    <row r="36" customFormat="false" ht="12.75" hidden="false" customHeight="false" outlineLevel="0" collapsed="false">
      <c r="A36" s="493" t="s">
        <v>2685</v>
      </c>
      <c r="B36" s="494" t="n">
        <v>0.005</v>
      </c>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0.00485</v>
      </c>
      <c r="G36" s="479" t="str">
        <f aca="false">IF(A36="","",IF(ISERROR(VLOOKUP($A36,'liste reference'!$A$7:$P$904,13,0)),IF(ISERROR(VLOOKUP($A36,'liste reference'!$B$7:$P$904,12,0)),"    -",VLOOKUP($A36,'liste reference'!$B$7:$P$904,12,0)),VLOOKUP($A36,'liste reference'!$A$7:$P$904,13,0)))</f>
        <v>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ramosissimum</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NEWCOD</v>
      </c>
      <c r="Z36" s="280" t="str">
        <f aca="false">IF(ISERROR(MATCH(A36,'liste reference'!$A$8:$A$904,0)),IF(ISERROR(MATCH(A36,'liste reference'!$B$8:$B$904,0)),"",(MATCH(A36,'liste reference'!$B$8:$B$904,0))),(MATCH(A36,'liste reference'!$A$8:$A$904,0)))</f>
        <v/>
      </c>
      <c r="AA36" s="491"/>
      <c r="AB36" s="492" t="s">
        <v>2686</v>
      </c>
      <c r="AC36" s="492"/>
      <c r="BB36" s="280" t="n">
        <f aca="false">IF(A36="","",1)</f>
        <v>1</v>
      </c>
    </row>
    <row r="37" customFormat="false" ht="12.75" hidden="false" customHeight="false" outlineLevel="0" collapsed="false">
      <c r="A37" s="493" t="s">
        <v>2685</v>
      </c>
      <c r="B37" s="494"/>
      <c r="C37" s="495" t="n">
        <v>0.005</v>
      </c>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0.00015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Petasites pyrenaicus</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VAR</v>
      </c>
      <c r="B84" s="529" t="str">
        <f aca="false">C3</f>
        <v>Nice</v>
      </c>
      <c r="C84" s="530" t="n">
        <f aca="false">A4</f>
        <v>41506</v>
      </c>
      <c r="D84" s="531" t="n">
        <f aca="false">IF(ISERROR(SUM($T$23:$T$82)/SUM($U$23:$U$82)),"",SUM($T$23:$T$82)/SUM($U$23:$U$82))</f>
        <v>9.64705882352941</v>
      </c>
      <c r="E84" s="532" t="n">
        <f aca="false">N13</f>
        <v>15</v>
      </c>
      <c r="F84" s="529" t="n">
        <f aca="false">N14</f>
        <v>13</v>
      </c>
      <c r="G84" s="529" t="n">
        <f aca="false">N15</f>
        <v>6</v>
      </c>
      <c r="H84" s="529" t="n">
        <f aca="false">N16</f>
        <v>5</v>
      </c>
      <c r="I84" s="529" t="n">
        <f aca="false">N17</f>
        <v>0</v>
      </c>
      <c r="J84" s="533" t="n">
        <f aca="false">N8</f>
        <v>8.07692307692308</v>
      </c>
      <c r="K84" s="531" t="n">
        <f aca="false">N9</f>
        <v>4.37583466256243</v>
      </c>
      <c r="L84" s="532" t="n">
        <f aca="false">N10</f>
        <v>0</v>
      </c>
      <c r="M84" s="532" t="n">
        <f aca="false">N11</f>
        <v>13</v>
      </c>
      <c r="N84" s="531" t="n">
        <f aca="false">O8</f>
        <v>1.23076923076923</v>
      </c>
      <c r="O84" s="531" t="n">
        <f aca="false">O9</f>
        <v>0.696568087549032</v>
      </c>
      <c r="P84" s="532" t="n">
        <f aca="false">O10</f>
        <v>0</v>
      </c>
      <c r="Q84" s="532" t="n">
        <f aca="false">O11</f>
        <v>2</v>
      </c>
      <c r="R84" s="532" t="n">
        <f aca="false">F21</f>
        <v>0.6588</v>
      </c>
      <c r="S84" s="532" t="n">
        <f aca="false">K11</f>
        <v>0</v>
      </c>
      <c r="T84" s="532" t="n">
        <f aca="false">K12</f>
        <v>6</v>
      </c>
      <c r="U84" s="532" t="n">
        <f aca="false">K13</f>
        <v>3</v>
      </c>
      <c r="V84" s="534" t="n">
        <f aca="false">K14</f>
        <v>0</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13</v>
      </c>
      <c r="T87" s="280"/>
      <c r="U87" s="280"/>
      <c r="V87" s="280"/>
    </row>
    <row r="88" customFormat="false" ht="12.75" hidden="true" customHeight="false" outlineLevel="0" collapsed="false">
      <c r="P88" s="280"/>
      <c r="Q88" s="280" t="s">
        <v>2691</v>
      </c>
      <c r="R88" s="280"/>
      <c r="S88" s="488" t="n">
        <f aca="false">VLOOKUP((S87),($S$23:$U$82),2,0)</f>
        <v>26</v>
      </c>
      <c r="T88" s="280"/>
      <c r="U88" s="280"/>
      <c r="V88" s="280"/>
    </row>
    <row r="89" customFormat="false" ht="12.75" hidden="true" customHeight="false" outlineLevel="0" collapsed="false">
      <c r="Q89" s="280" t="s">
        <v>2692</v>
      </c>
      <c r="R89" s="280"/>
      <c r="S89" s="488" t="n">
        <f aca="false">VLOOKUP((S87),($S$23:$U$82),3,0)</f>
        <v>2</v>
      </c>
      <c r="T89" s="280"/>
    </row>
    <row r="90" customFormat="false" ht="12.75" hidden="false" customHeight="false" outlineLevel="0" collapsed="false">
      <c r="Q90" s="280" t="s">
        <v>2693</v>
      </c>
      <c r="R90" s="280"/>
      <c r="S90" s="538" t="n">
        <f aca="false">IF(ISERROR(SUM($T$23:$T$82)/SUM($U$23:$U$82)),"",(SUM($T$23:$T$82)-S88)/(SUM($U$23:$U$82)-S89))</f>
        <v>9.2</v>
      </c>
      <c r="T90" s="280"/>
    </row>
    <row r="91" customFormat="false" ht="12.75" hidden="false" customHeight="false" outlineLevel="0" collapsed="false">
      <c r="Q91" s="487" t="s">
        <v>2694</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2695</v>
      </c>
      <c r="R92" s="280"/>
      <c r="S92" s="280" t="n">
        <f aca="false">MATCH(S87,$S$23:$S$82,0)</f>
        <v>4</v>
      </c>
      <c r="T92" s="280"/>
    </row>
    <row r="93" customFormat="false" ht="12.75" hidden="false" customHeight="false" outlineLevel="0" collapsed="false">
      <c r="Q93" s="487" t="s">
        <v>2696</v>
      </c>
      <c r="R93" s="280"/>
      <c r="S93" s="487" t="str">
        <f aca="false">INDEX($A$23:$A$82,$S$92)</f>
        <v>PHOSPX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2624</v>
      </c>
      <c r="G16" s="574"/>
      <c r="H16" s="573" t="s">
        <v>2624</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2711</v>
      </c>
      <c r="G18" s="577"/>
      <c r="H18" s="576" t="s">
        <v>2711</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2014-04-09T10:55:48Z</dcterms:modified>
  <cp:revision>0</cp:revision>
  <dc:subject/>
  <dc:title>Feuille d'aide au calcul de l'IBMR</dc:title>
</cp:coreProperties>
</file>