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213000" sheetId="6" state="visible" r:id="rId8"/>
    <sheet name="jgjg" sheetId="7" state="hidden" r:id="rId9"/>
    <sheet name="liste codes réf" sheetId="8" state="hidden" r:id="rId10"/>
  </sheets>
  <definedNames>
    <definedName function="false" hidden="false" localSheetId="5" name="_xlnm.Print_Area" vbProcedure="false">'06213000'!$A$1:$Q$82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'06213000'!$A$1:$Q$82</definedName>
    <definedName function="false" hidden="false" localSheetId="5" name="_xlnm__FilterDatabase" vbProcedure="false">'06213000'!$A$1:$C$1415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<sst xmlns="http://schemas.openxmlformats.org/spreadsheetml/2006/main" count="8835" uniqueCount="3496">
  <si>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</si>
  <si>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</si>
  <si>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</si>
  <si>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</si>
  <si>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</si>
  <si>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</si>
  <si>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</si>
  <si>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</si>
  <si>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</si>
  <si>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</si>
  <si>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</si>
  <si>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</si>
  <si>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</si>
  <si>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</si>
  <si>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</si>
  <si>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</si>
  <si>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</si>
  <si>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</si>
  <si>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</si>
  <si>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</si>
  <si>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</si>
  <si>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</si>
  <si>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</si>
  <si>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</si>
  <si>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</si>
  <si>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</si>
  <si>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</si>
  <si>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</si>
  <si>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</si>
  <si>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</si>
  <si>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</si>
  <si>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</si>
  <si>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</si>
  <si>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</si>
  <si>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</si>
  <si>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</si>
  <si>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</si>
  <si>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</si>
  <si>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</si>
  <si>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</si>
  <si>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</si>
  <si>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</si>
  <si>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</si>
  <si>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</si>
  <si>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</si>
  <si>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</si>
  <si>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</si>
  <si>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</si>
  <si>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</si>
  <si>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</si>
  <si>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</si>
  <si>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</si>
  <si>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</si>
  <si>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</si>
  <si>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</si>
  <si>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</si>
  <si>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</si>
  <si>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</si>
  <si>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</si>
  <si>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</si>
  <si>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</si>
  <si>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</si>
  <si>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</si>
  <si>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</si>
  <si>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</si>
  <si>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</si>
  <si>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</si>
  <si>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</si>
  <si>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</si>
  <si>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</si>
  <si>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</si>
  <si>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</si>
  <si>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</si>
  <si>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</si>
  <si>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</si>
  <si>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</si>
  <si>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</si>
  <si>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</si>
  <si>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</si>
  <si>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</si>
  <si>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</si>
  <si>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</si>
  <si>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</si>
  <si>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</si>
  <si>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</si>
  <si>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</si>
  <si>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</si>
  <si>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</si>
  <si>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</si>
  <si>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</si>
  <si>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</si>
  <si>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</si>
  <si>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</si>
  <si>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</si>
  <si>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</si>
  <si>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</si>
  <si>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</si>
  <si>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</si>
  <si>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</si>
  <si>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</si>
  <si>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</si>
  <si>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</si>
  <si>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</si>
  <si>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</si>
  <si>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</si>
  <si>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</si>
  <si>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</si>
  <si>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</si>
  <si>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</si>
  <si>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</si>
  <si>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</si>
  <si>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</si>
  <si>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</si>
  <si>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</si>
  <si>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</si>
  <si>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</si>
  <si>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</si>
  <si>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</si>
  <si>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</si>
  <si>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</si>
  <si>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</si>
  <si>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</si>
  <si>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</si>
  <si>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</si>
  <si>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</si>
  <si>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</si>
  <si>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</si>
  <si>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</si>
  <si>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</si>
  <si>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</si>
  <si>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</si>
  <si>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</si>
  <si>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</si>
  <si>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</si>
  <si>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</si>
  <si>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</si>
  <si>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</si>
  <si>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</si>
  <si>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</si>
  <si>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</si>
  <si>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</si>
  <si>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</si>
  <si>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</si>
  <si>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</si>
  <si>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</si>
  <si>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</si>
  <si>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</si>
  <si>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</si>
  <si>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</si>
  <si>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</si>
  <si>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</si>
  <si>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</si>
  <si>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</si>
  <si>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</si>
  <si>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</si>
  <si>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</si>
  <si>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</si>
  <si>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</si>
  <si>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</si>
  <si>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</si>
  <si>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</si>
  <si>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</si>
  <si>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</si>
  <si>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</si>
  <si>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</si>
  <si>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</si>
  <si>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</si>
  <si>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</si>
  <si>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</si>
  <si>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</si>
  <si>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</si>
  <si>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</si>
  <si>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</si>
  <si>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</si>
  <si>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</si>
  <si>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</si>
  <si>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</si>
  <si>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</si>
  <si>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</si>
  <si>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</si>
  <si>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</si>
  <si>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</si>
  <si>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</si>
  <si>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</si>
  <si>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</si>
  <si>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</si>
  <si>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</si>
  <si>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</si>
  <si>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</si>
  <si>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</si>
  <si>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</si>
  <si>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</si>
  <si>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</si>
  <si>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</si>
  <si>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</si>
  <si>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</si>
  <si>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</si>
  <si>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</si>
  <si>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</si>
  <si>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</si>
  <si>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</si>
  <si>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</si>
  <si>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</si>
  <si>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</si>
  <si>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</si>
  <si>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</si>
  <si>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</si>
  <si>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</si>
  <si>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</si>
  <si>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</si>
  <si>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</si>
  <si>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</si>
  <si>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</si>
  <si>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</si>
  <si>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</si>
  <si>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</si>
  <si>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</si>
  <si>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</si>
  <si>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</si>
  <si>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</si>
  <si>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</si>
  <si>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</si>
  <si>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</si>
  <si>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</si>
  <si>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</si>
  <si>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</si>
  <si>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</si>
  <si>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</si>
  <si>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</si>
  <si>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</si>
  <si>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</si>
  <si>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</si>
  <si>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</si>
  <si>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</si>
  <si>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</si>
  <si>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</si>
  <si>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</si>
  <si>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</si>
  <si>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</si>
  <si>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</si>
  <si>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</si>
  <si>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</si>
  <si>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</si>
  <si>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</si>
  <si>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</si>
  <si>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</si>
  <si>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</si>
  <si>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</si>
  <si>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</si>
  <si>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</si>
  <si>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</si>
  <si>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</si>
  <si>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</si>
  <si>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</si>
  <si>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</si>
  <si>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</si>
  <si>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</si>
  <si>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</si>
  <si>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</si>
  <si>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</si>
  <si>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</si>
  <si>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</si>
  <si>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</si>
  <si>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</si>
  <si>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</si>
  <si>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</si>
  <si>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</si>
  <si>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</si>
  <si>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</si>
  <si>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</si>
  <si>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</si>
  <si>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</si>
  <si>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</si>
  <si>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</si>
  <si>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</si>
  <si>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</si>
  <si>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</si>
  <si>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</si>
  <si>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</si>
  <si>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</si>
  <si>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</si>
  <si>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</si>
  <si>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</si>
  <si>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</si>
  <si>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</si>
  <si>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</si>
  <si>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</si>
  <si>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</si>
  <si>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</si>
  <si>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</si>
  <si>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</si>
  <si>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</si>
  <si>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</si>
  <si>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</si>
  <si>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</si>
  <si>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</si>
  <si>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</si>
  <si>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</si>
  <si>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</si>
  <si>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</si>
  <si>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</si>
  <si>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</si>
  <si>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</si>
  <si>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</si>
  <si>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</si>
  <si>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</si>
  <si>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</si>
  <si>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</si>
  <si>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</si>
  <si>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</si>
  <si>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</si>
  <si>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</si>
  <si>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</si>
  <si>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</si>
  <si>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</si>
  <si>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</si>
  <si>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</si>
  <si>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</si>
  <si>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</si>
  <si>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</si>
  <si>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</si>
  <si>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</si>
  <si>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</si>
  <si>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</si>
  <si>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</si>
  <si>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</si>
  <si>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</si>
  <si>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</si>
  <si>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</si>
  <si>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</si>
  <si>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</si>
  <si>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</si>
  <si>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</si>
  <si>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</si>
  <si>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</si>
  <si>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</si>
  <si>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</si>
  <si>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</si>
  <si>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</si>
  <si>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</si>
  <si>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</si>
  <si>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</si>
  <si>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</si>
  <si>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</si>
  <si>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</si>
  <si>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</si>
  <si>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</si>
  <si>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</si>
  <si>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</si>
  <si>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</si>
  <si>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</si>
  <si>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</si>
  <si>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</si>
  <si>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</si>
  <si>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</si>
  <si>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</si>
  <si>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</si>
  <si>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</si>
  <si>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</si>
  <si>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</si>
  <si>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</si>
  <si>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</si>
  <si>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</si>
  <si>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</si>
  <si>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</si>
  <si>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</si>
  <si>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</si>
  <si>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</si>
  <si>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</si>
  <si>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</si>
  <si>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</si>
  <si>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</si>
  <si>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</si>
  <si>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</si>
  <si>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</si>
  <si>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</si>
  <si>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</si>
  <si>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</si>
  <si>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</si>
  <si>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</si>
  <si>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</si>
  <si>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</si>
  <si>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</si>
  <si>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</si>
  <si>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</si>
  <si>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</si>
  <si>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</si>
  <si>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</si>
  <si>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</si>
  <si>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</si>
  <si>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</si>
  <si>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</si>
  <si>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</si>
  <si>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</si>
  <si>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</si>
  <si>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</si>
  <si>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</si>
  <si>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</si>
  <si>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</si>
  <si>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</si>
  <si>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</si>
  <si>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</si>
  <si>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</si>
  <si>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</si>
  <si>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</si>
  <si>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</si>
  <si>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</si>
  <si>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</si>
  <si>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</si>
  <si>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</si>
  <si>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</si>
  <si>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</si>
  <si>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</si>
  <si>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</si>
  <si>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</si>
  <si>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</si>
  <si>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</si>
  <si>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</si>
  <si>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</si>
  <si>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</si>
  <si>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</si>
  <si>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</si>
  <si>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</si>
  <si>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</si>
  <si>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</si>
  <si>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</si>
  <si>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</si>
  <si>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</si>
  <si>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</si>
  <si>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</si>
  <si>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</si>
  <si>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</si>
  <si>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</si>
  <si>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</si>
  <si>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</si>
  <si>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</si>
  <si>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</si>
  <si>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</si>
  <si>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</si>
  <si>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</si>
  <si>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</si>
  <si>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</si>
  <si>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</si>
  <si>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</si>
  <si>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</si>
  <si>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</si>
  <si>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</si>
  <si>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</si>
  <si>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</si>
  <si>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</si>
  <si>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</si>
  <si>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</si>
  <si>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</si>
  <si>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</si>
  <si>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</si>
  <si>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</si>
  <si>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</si>
  <si>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</si>
  <si>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</si>
  <si>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</si>
  <si>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</si>
  <si>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</si>
  <si>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</si>
  <si>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</si>
  <si>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</si>
  <si>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</si>
  <si>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</si>
  <si>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</si>
  <si>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</si>
  <si>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</si>
  <si>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</si>
  <si>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</si>
  <si>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</si>
  <si>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</si>
  <si>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</si>
  <si>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</si>
  <si>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</si>
  <si>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</si>
  <si>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</si>
  <si>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</si>
  <si>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</si>
  <si>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</si>
  <si>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</si>
  <si>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</si>
  <si>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</si>
  <si>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</si>
  <si>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</si>
  <si>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</si>
  <si>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</si>
  <si>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</si>
  <si>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</si>
  <si>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</si>
  <si>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</si>
  <si>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</si>
  <si>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</si>
  <si>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</si>
  <si>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</si>
  <si>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</si>
  <si>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</si>
  <si>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</si>
  <si>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</si>
  <si>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</si>
  <si>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</si>
  <si>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</si>
  <si>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</si>
  <si>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</si>
  <si>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</si>
  <si>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</si>
  <si>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</si>
  <si>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</si>
  <si>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</si>
  <si>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</si>
  <si>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</si>
  <si>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</si>
  <si>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</si>
  <si>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</si>
  <si>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</si>
  <si>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</si>
  <si>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</si>
  <si>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</si>
  <si>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</si>
  <si>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</si>
  <si>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</si>
  <si>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</si>
  <si>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</si>
  <si>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</si>
  <si>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</si>
  <si>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</si>
  <si>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</si>
  <si>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</si>
  <si>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</si>
  <si>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</si>
  <si>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</si>
  <si>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</si>
  <si>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</si>
  <si>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</si>
  <si>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</si>
  <si>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</si>
  <si>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</si>
  <si>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</si>
  <si>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</si>
  <si>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</si>
  <si>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</si>
  <si>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</si>
  <si>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</si>
  <si>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</si>
  <si>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</si>
  <si>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</si>
  <si>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</si>
  <si>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</si>
  <si>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</si>
  <si>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</si>
  <si>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</si>
  <si>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</si>
  <si>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</si>
  <si>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</si>
  <si>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</si>
  <si>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</si>
  <si>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</si>
  <si>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</si>
  <si>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</si>
  <si>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</si>
  <si>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</si>
  <si>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</si>
  <si>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</si>
  <si>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</si>
  <si>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</si>
  <si>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</si>
  <si>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</si>
  <si>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</si>
  <si>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</si>
  <si>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</si>
  <si>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</si>
  <si>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</si>
  <si>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</si>
  <si>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</si>
  <si>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</si>
  <si>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</si>
  <si>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</si>
  <si>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</si>
  <si>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</si>
  <si>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</si>
  <si>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</si>
  <si>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</si>
  <si>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</si>
  <si>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</si>
  <si>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</si>
  <si>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</si>
  <si>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</si>
  <si>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</si>
  <si>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</si>
  <si>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</si>
  <si>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</si>
  <si>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</si>
  <si>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</si>
  <si>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</si>
  <si>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</si>
  <si>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</si>
  <si>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</si>
  <si>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</si>
  <si>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</si>
  <si>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</si>
  <si>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</si>
  <si>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</si>
  <si>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</si>
  <si>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</si>
  <si>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</si>
  <si>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</si>
  <si>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</si>
  <si>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</si>
  <si>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</si>
  <si>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</si>
  <si>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</si>
  <si>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</si>
  <si>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</si>
  <si>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</si>
  <si>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</si>
  <si>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</si>
  <si>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</si>
  <si>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</si>
  <si>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</si>
  <si>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</si>
  <si>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</si>
  <si>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</si>
  <si>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</si>
  <si>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</si>
  <si>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</si>
  <si>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</si>
  <si>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</si>
  <si>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</si>
  <si>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</si>
  <si>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</si>
  <si>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</si>
  <si>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</si>
  <si>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</si>
  <si>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</si>
  <si>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</si>
  <si>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</si>
  <si>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</si>
  <si>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</si>
  <si>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</si>
  <si>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</si>
  <si>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</si>
  <si>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</si>
  <si>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</si>
  <si>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</si>
  <si>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</si>
  <si>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</si>
  <si>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</si>
  <si>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</si>
  <si>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</si>
  <si>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</si>
  <si>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</si>
  <si>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</si>
  <si>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</si>
  <si>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</si>
  <si>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</si>
  <si>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</si>
  <si>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</si>
  <si>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</si>
  <si>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</si>
  <si>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</si>
  <si>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</si>
  <si>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</si>
  <si>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</si>
  <si>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</si>
  <si>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</si>
  <si>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</si>
  <si>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</si>
  <si>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</si>
  <si>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</si>
  <si>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</si>
  <si>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</si>
  <si>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</si>
  <si>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</si>
  <si>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</si>
  <si>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</si>
  <si>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</si>
  <si>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</si>
  <si>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</si>
  <si>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</si>
  <si>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</si>
  <si>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</si>
  <si>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</si>
  <si>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</si>
  <si>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</si>
  <si>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</si>
  <si>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</si>
  <si>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</si>
  <si>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</si>
  <si>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</si>
  <si>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</si>
  <si>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</si>
  <si>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</si>
  <si>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</si>
  <si>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</si>
  <si>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</si>
  <si>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</si>
  <si>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</si>
  <si>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</si>
  <si>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</si>
  <si>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</si>
  <si>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</si>
  <si>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</si>
  <si>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</si>
  <si>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</si>
  <si>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</si>
  <si>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</si>
  <si>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</si>
  <si>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</si>
  <si>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</si>
  <si>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</si>
  <si>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</si>
  <si>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</si>
  <si>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</si>
  <si>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</si>
  <si>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</si>
  <si>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</si>
  <si>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</si>
  <si>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</si>
  <si>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</si>
  <si>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</si>
  <si>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</si>
  <si>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</si>
  <si>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</si>
  <si>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</si>
  <si>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</si>
  <si>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</si>
  <si>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</si>
  <si>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</si>
  <si>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</si>
  <si>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</si>
  <si>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</si>
  <si>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</si>
  <si>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</si>
  <si>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</si>
  <si>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</si>
  <si>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</si>
  <si>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</si>
  <si>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</si>
  <si>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</si>
  <si>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</si>
  <si>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</si>
  <si>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</si>
  <si>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</si>
  <si>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</si>
  <si>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</si>
  <si>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</si>
  <si>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</si>
  <si>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</si>
  <si>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</si>
  <si>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</si>
  <si>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</si>
  <si>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</si>
  <si>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</si>
  <si>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</si>
  <si>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</si>
  <si>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</si>
  <si>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</si>
  <si>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</si>
  <si>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</si>
  <si>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</si>
  <si>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</si>
  <si>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</si>
  <si>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</si>
  <si>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</si>
  <si>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</si>
  <si>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</si>
  <si>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</si>
  <si>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</si>
  <si>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</si>
  <si>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</si>
  <si>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</si>
  <si>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</si>
  <si>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</si>
  <si>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</si>
  <si>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</si>
  <si>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</si>
  <si>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</si>
  <si>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</si>
  <si>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</si>
  <si>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</si>
  <si>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</si>
  <si>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</si>
  <si>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</si>
  <si>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</si>
  <si>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</si>
  <si>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</si>
  <si>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</si>
  <si>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</si>
  <si>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</si>
  <si>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</si>
  <si>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</si>
  <si>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</si>
  <si>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</si>
  <si>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</si>
  <si>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</si>
  <si>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</si>
  <si>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</si>
  <si>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</si>
  <si>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</si>
  <si>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</si>
  <si>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</si>
  <si>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</si>
  <si>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</si>
  <si>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</si>
  <si>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</si>
  <si>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</si>
  <si>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</si>
  <si>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</si>
  <si>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</si>
  <si>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</si>
  <si>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</si>
  <si>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</si>
  <si>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</si>
  <si>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</si>
  <si>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</si>
  <si>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</si>
  <si>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</si>
  <si>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</si>
  <si>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</si>
  <si>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</si>
  <si>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</si>
  <si>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</si>
  <si>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</si>
  <si>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</si>
  <si>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</si>
  <si>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</si>
  <si>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</si>
  <si>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</si>
  <si>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</si>
  <si>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</si>
  <si>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</si>
  <si>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</si>
  <si>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</si>
  <si>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</si>
  <si>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</si>
  <si>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</si>
  <si>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</si>
  <si>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</si>
  <si>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</si>
  <si>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</si>
  <si>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</si>
  <si>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</si>
  <si>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</si>
  <si>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</si>
  <si>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</si>
  <si>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</si>
  <si>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</si>
  <si>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</si>
  <si>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</si>
  <si>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</si>
  <si>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</si>
  <si>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</si>
  <si>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</si>
  <si>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</si>
  <si>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</si>
  <si>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</si>
  <si>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</si>
  <si>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</si>
  <si>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</si>
  <si>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</si>
  <si>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</si>
  <si>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</si>
  <si>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</si>
  <si>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</si>
  <si>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</si>
  <si>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</si>
  <si>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</si>
  <si>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</si>
  <si>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</si>
  <si>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</si>
  <si>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</si>
  <si>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</si>
  <si>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</si>
  <si>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</si>
  <si>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</si>
  <si>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</si>
  <si>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</si>
  <si>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</si>
  <si>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</si>
  <si>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</si>
  <si>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</si>
  <si>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</si>
  <si>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</si>
  <si>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</si>
  <si>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</si>
  <si>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</si>
  <si>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</si>
  <si>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</si>
  <si>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</si>
  <si>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</si>
  <si>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</si>
  <si>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</si>
  <si>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</si>
  <si>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</si>
  <si>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</si>
  <si>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</si>
  <si>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</si>
  <si>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</si>
  <si>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</si>
  <si>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</si>
  <si>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</si>
  <si>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</si>
  <si>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</si>
  <si>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</si>
  <si>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</si>
  <si>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</si>
  <si>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</si>
  <si>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</si>
  <si>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</si>
  <si>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</si>
  <si>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</si>
  <si>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</si>
  <si>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</si>
  <si>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</si>
  <si>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</si>
  <si>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</si>
  <si>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</si>
  <si>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</si>
  <si>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</si>
  <si>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</si>
  <si>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</si>
  <si>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</si>
  <si>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</si>
  <si>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</si>
  <si>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</si>
  <si>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</si>
  <si>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</si>
  <si>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</si>
  <si>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</si>
  <si>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</si>
  <si>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</si>
  <si>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</si>
  <si>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</si>
  <si>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</si>
  <si>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</si>
  <si>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</si>
  <si>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</si>
  <si>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</si>
  <si>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</si>
  <si>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</si>
  <si>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</si>
  <si>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</si>
  <si>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</si>
  <si>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</si>
  <si>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</si>
  <si>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</si>
  <si>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</si>
  <si>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</si>
  <si>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</si>
  <si>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</si>
  <si>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</si>
  <si>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</si>
  <si>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</si>
  <si>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</si>
  <si>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</si>
  <si>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</si>
  <si>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</si>
  <si>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</si>
  <si>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</si>
  <si>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</si>
  <si>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</si>
  <si>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</si>
  <si>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</si>
  <si>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</si>
  <si>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</si>
  <si>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</si>
  <si>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</si>
  <si>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</si>
  <si>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</si>
  <si>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</si>
  <si>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</si>
  <si>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</si>
  <si>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</si>
  <si>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</si>
  <si>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</si>
  <si>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</si>
  <si>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</si>
  <si>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</si>
  <si>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</si>
  <si>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</si>
  <si>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</si>
  <si>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</si>
  <si>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</si>
  <si>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</si>
  <si>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</si>
  <si>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</si>
  <si>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</si>
  <si>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</si>
  <si>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</si>
  <si>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</si>
  <si>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</si>
  <si>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</si>
  <si>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</si>
  <si>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</si>
  <si>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</si>
  <si>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</si>
  <si>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</si>
  <si>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</si>
  <si>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</si>
  <si>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</si>
  <si>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</si>
  <si>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</si>
  <si>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</si>
  <si>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</si>
  <si>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</si>
  <si>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</si>
  <si>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</si>
  <si>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</si>
  <si>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</si>
  <si>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</si>
  <si>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</si>
  <si>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</si>
  <si>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</si>
  <si>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</si>
  <si>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</si>
  <si>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</si>
  <si>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</si>
  <si>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</si>
  <si>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</si>
  <si>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</si>
  <si>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</si>
  <si>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</si>
  <si>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</si>
  <si>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</si>
  <si>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</si>
  <si>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</si>
  <si>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</si>
  <si>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</si>
  <si>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</si>
  <si>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</si>
  <si>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</si>
  <si>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</si>
  <si>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</si>
  <si>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</si>
  <si>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</si>
  <si>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</si>
  <si>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</si>
  <si>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</si>
  <si>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</si>
  <si>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</si>
  <si>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</si>
  <si>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</si>
  <si>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</si>
  <si>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</si>
  <si>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</si>
  <si>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</si>
  <si>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</si>
  <si>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</si>
  <si>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</si>
  <si>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</si>
  <si>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</si>
  <si>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</si>
  <si>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</si>
  <si>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</si>
  <si>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</si>
  <si>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</si>
  <si>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</si>
  <si>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</si>
  <si>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</si>
  <si>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</si>
  <si>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</si>
  <si>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</si>
  <si>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</si>
  <si>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</si>
  <si>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</si>
  <si>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</si>
  <si>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</si>
  <si>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</si>
  <si>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</si>
  <si>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</si>
  <si>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</si>
  <si>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</si>
  <si>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</si>
  <si>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</si>
  <si>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</si>
  <si>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</si>
  <si>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</si>
  <si>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</si>
  <si>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</si>
  <si>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</si>
  <si>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</si>
  <si>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</si>
  <si>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</si>
  <si>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</si>
  <si>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</si>
  <si>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</si>
  <si>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</si>
  <si>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</si>
  <si>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</si>
  <si>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</si>
  <si>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</si>
  <si>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</si>
  <si>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</si>
  <si>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</si>
  <si>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</si>
  <si>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</si>
  <si>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</si>
  <si>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</si>
  <si>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</si>
  <si>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</si>
  <si>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</si>
  <si>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</si>
  <si>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</si>
  <si>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</si>
  <si>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</si>
  <si>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</si>
  <si>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</si>
  <si>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</si>
  <si>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</si>
  <si>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</si>
  <si>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</si>
  <si>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</si>
  <si>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</si>
  <si>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</si>
  <si>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</si>
  <si>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</si>
  <si>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</si>
  <si>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</si>
  <si>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</si>
  <si>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</si>
  <si>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</si>
  <si>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</si>
  <si>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</si>
  <si>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</si>
  <si>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</si>
  <si>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</si>
  <si>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</si>
  <si>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</si>
  <si>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</si>
  <si>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</si>
  <si>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</si>
  <si>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</si>
  <si>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</si>
  <si>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</si>
  <si>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</si>
  <si>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</si>
  <si>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</si>
  <si>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</si>
  <si>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</si>
  <si>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</si>
  <si>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</si>
  <si>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</si>
  <si>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</si>
  <si>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</si>
  <si>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</si>
  <si>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</si>
  <si>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</si>
  <si>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</si>
  <si>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</si>
  <si>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</si>
  <si>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</si>
  <si>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</si>
  <si>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</si>
  <si>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</si>
  <si>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</si>
  <si>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</si>
  <si>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</si>
  <si>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</si>
  <si>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</si>
  <si>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</si>
  <si>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</si>
  <si>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</si>
  <si>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</si>
  <si>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</si>
  <si>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</si>
  <si>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</si>
  <si>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</si>
  <si>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</si>
  <si>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</si>
  <si>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</si>
  <si>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</si>
  <si>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</si>
  <si>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</si>
  <si>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</si>
  <si>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</si>
  <si>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</si>
  <si>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</si>
  <si>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</si>
  <si>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</si>
  <si>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</si>
  <si>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</si>
  <si>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</si>
  <si>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</si>
  <si>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</si>
  <si>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</si>
  <si>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</si>
  <si>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</si>
  <si>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</si>
  <si>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</si>
  <si>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</si>
  <si>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</si>
  <si>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</si>
  <si>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</si>
  <si>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</si>
  <si>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</si>
  <si>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</si>
  <si>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</si>
  <si>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</si>
  <si>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</si>
  <si>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</si>
  <si>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</si>
  <si>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</si>
  <si>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</si>
  <si>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</si>
  <si>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</si>
  <si>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</si>
  <si>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</si>
  <si>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</si>
  <si>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</si>
  <si>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</si>
  <si>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</si>
  <si>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</si>
  <si>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</si>
  <si>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</si>
  <si>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</si>
  <si>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</si>
  <si>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</si>
  <si>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</si>
  <si>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</si>
  <si>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</si>
  <si>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</si>
  <si>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</si>
  <si>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</si>
  <si>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</si>
  <si>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</si>
  <si>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</si>
  <si>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</si>
  <si>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</si>
  <si>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</si>
  <si>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</si>
  <si>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</si>
  <si>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</si>
  <si>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</si>
  <si>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</si>
  <si>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</si>
  <si>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</si>
  <si>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</si>
  <si>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</si>
  <si>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</si>
  <si>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</si>
  <si>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</si>
  <si>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</si>
  <si>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</si>
  <si>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</si>
  <si>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</si>
  <si>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</si>
  <si>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</si>
  <si>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</si>
  <si>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</si>
  <si>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</si>
  <si>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</si>
  <si>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</si>
  <si>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</si>
  <si>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</si>
  <si>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</si>
  <si>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</si>
  <si>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</si>
  <si>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</si>
  <si>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</si>
  <si>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</si>
  <si>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</si>
  <si>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</si>
  <si>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</si>
  <si>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</si>
  <si>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</si>
  <si>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</si>
  <si>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</si>
  <si>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</si>
  <si>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</si>
  <si>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</si>
  <si>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</si>
  <si>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</si>
  <si>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</si>
  <si>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</si>
  <si>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</si>
  <si>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</si>
  <si>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</si>
  <si>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</si>
  <si>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</si>
  <si>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</si>
  <si>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</si>
  <si>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</si>
  <si>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</si>
  <si>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</si>
  <si>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</si>
  <si>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</si>
  <si>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</si>
  <si>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</si>
  <si>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</si>
  <si>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</si>
  <si>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</si>
  <si>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</si>
  <si>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</si>
  <si>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</si>
  <si>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</si>
  <si>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</si>
  <si>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</si>
  <si>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</si>
  <si>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</si>
  <si>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</si>
  <si>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</si>
  <si>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</si>
  <si>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</si>
  <si>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</si>
  <si>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</si>
  <si>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</si>
  <si>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</si>
  <si>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</si>
  <si>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</si>
  <si>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</si>
  <si>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</si>
  <si>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</si>
  <si>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</si>
  <si>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</si>
  <si>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</si>
  <si>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</si>
  <si>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</si>
  <si>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</si>
  <si>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</si>
  <si>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</si>
  <si>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</si>
  <si>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</si>
  <si>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</si>
  <si>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</si>
  <si>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</si>
  <si>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</si>
  <si>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</si>
  <si>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</si>
  <si>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</si>
  <si>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</si>
  <si>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</si>
  <si>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</si>
  <si>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</si>
  <si>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</si>
  <si>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</si>
  <si>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</si>
  <si>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</si>
  <si>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</si>
  <si>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</si>
  <si>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</si>
  <si>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</si>
  <si>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</si>
  <si>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</si>
  <si>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</si>
  <si>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</si>
  <si>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</si>
  <si>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</si>
  <si>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</si>
  <si>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</si>
  <si>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</si>
  <si>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</si>
  <si>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</si>
  <si>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</si>
  <si>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</si>
  <si>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</si>
  <si>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</si>
  <si>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</si>
  <si>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</si>
  <si>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</si>
  <si>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</si>
  <si>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</si>
  <si>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</si>
  <si>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</si>
  <si>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</si>
  <si>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</si>
  <si>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</si>
  <si>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</si>
  <si>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</si>
  <si>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</si>
  <si>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</si>
  <si>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</si>
  <si>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</si>
  <si>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</si>
  <si>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</si>
  <si>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</si>
  <si>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</si>
  <si>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</si>
  <si>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</si>
  <si>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</si>
  <si>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</si>
  <si>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</si>
  <si>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</si>
  <si>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</si>
  <si>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</si>
  <si>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</si>
  <si>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</si>
  <si>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</si>
  <si>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</si>
  <si>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</si>
  <si>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</si>
  <si>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</si>
  <si>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</si>
  <si>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</si>
  <si>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</si>
  <si>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</si>
  <si>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</si>
  <si>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</si>
  <si>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</si>
  <si>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</si>
  <si>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</si>
  <si>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</si>
  <si>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</si>
  <si>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</si>
  <si>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</si>
  <si>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</si>
  <si>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</si>
  <si>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</si>
  <si>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</si>
  <si>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</si>
  <si>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</si>
  <si>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</si>
  <si>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</si>
  <si>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</si>
  <si>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</si>
  <si>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</si>
  <si>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</si>
  <si>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</si>
  <si>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</si>
  <si>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</si>
  <si>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</si>
  <si>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</si>
  <si>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</si>
  <si>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</si>
  <si>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</si>
  <si>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</si>
  <si>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</si>
  <si>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</si>
  <si>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</si>
  <si>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</si>
  <si>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</si>
  <si>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</si>
  <si>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</si>
  <si>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</si>
  <si>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</si>
  <si>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</si>
  <si>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</si>
  <si>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</si>
  <si>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</si>
  <si>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</si>
  <si>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</si>
  <si>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</si>
  <si>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</si>
  <si>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</si>
  <si>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</si>
  <si>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</si>
  <si>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</si>
  <si>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</si>
  <si>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</si>
  <si>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</si>
  <si>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</si>
  <si>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</si>
  <si>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</si>
  <si>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</si>
  <si>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</si>
  <si>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</si>
  <si>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</si>
  <si>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</si>
  <si>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</si>
  <si>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</si>
  <si>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</si>
  <si>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</si>
  <si>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</si>
  <si>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</si>
  <si>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</si>
  <si>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</si>
  <si>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</si>
  <si>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</si>
  <si>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</si>
  <si>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</si>
  <si>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</si>
  <si>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</si>
  <si>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</si>
  <si>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</si>
  <si>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</si>
  <si>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</si>
  <si>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</si>
  <si>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</si>
  <si>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</si>
  <si>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</si>
  <si>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</si>
  <si>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</si>
  <si>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</si>
  <si>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</si>
  <si>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</si>
  <si>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</si>
  <si>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</si>
  <si>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</si>
  <si>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</si>
  <si>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</si>
  <si>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</si>
  <si>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</si>
  <si>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</si>
  <si>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</si>
  <si>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</si>
  <si>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</si>
  <si>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</si>
  <si>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</si>
  <si>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</si>
  <si>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</si>
  <si>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</si>
  <si>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</si>
  <si>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</si>
  <si>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</si>
  <si>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</si>
  <si>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</si>
  <si>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</si>
  <si>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</si>
  <si>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</si>
  <si>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</si>
  <si>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</si>
  <si>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</si>
  <si>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</si>
  <si>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</si>
  <si>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</si>
  <si>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</si>
  <si>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</si>
  <si>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</si>
  <si>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</si>
  <si>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</si>
  <si>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</si>
  <si>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</si>
  <si>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</si>
  <si>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</si>
  <si>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</si>
  <si>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</si>
  <si>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</si>
  <si>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</si>
  <si>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</si>
  <si>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</si>
  <si>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</si>
  <si>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</si>
  <si>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</si>
  <si>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</si>
  <si>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</si>
  <si>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</si>
  <si>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</si>
  <si>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</si>
  <si>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</si>
  <si>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</si>
  <si>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</si>
  <si>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</si>
  <si>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</si>
  <si>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</si>
  <si>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</si>
  <si>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</si>
  <si>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</si>
  <si>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</si>
  <si>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</si>
  <si>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</si>
  <si>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</si>
  <si>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</si>
  <si>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</si>
  <si>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</si>
  <si>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</si>
  <si>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</si>
  <si>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</si>
  <si>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</si>
  <si>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</si>
  <si>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</si>
  <si>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</si>
  <si>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</si>
  <si>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</si>
  <si>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</si>
  <si>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</si>
  <si>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</si>
  <si>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</si>
  <si>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</si>
  <si>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</si>
  <si>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</si>
  <si>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</si>
  <si>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</si>
  <si>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</si>
  <si>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</si>
  <si>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</si>
  <si>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</si>
  <si>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</si>
  <si>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</si>
  <si>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</si>
  <si>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</si>
  <si>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</si>
  <si>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</si>
  <si>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</si>
  <si>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</si>
  <si>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</si>
  <si>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</si>
  <si>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</si>
  <si>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</si>
  <si>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</si>
  <si>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</si>
  <si>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</si>
  <si>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</si>
  <si>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</si>
  <si>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</si>
  <si>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</si>
  <si>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</si>
  <si>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</si>
  <si>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</si>
  <si>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</si>
  <si>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</si>
  <si>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</si>
  <si>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</si>
  <si>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</si>
  <si>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</si>
  <si>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</si>
  <si>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</si>
  <si>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</si>
  <si>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</si>
  <si>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</si>
  <si>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</si>
  <si>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</si>
  <si>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</si>
  <si>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</si>
  <si>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</si>
  <si>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</si>
  <si>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</si>
  <si>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</si>
  <si>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</si>
  <si>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</si>
  <si>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</si>
  <si>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</si>
  <si>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</si>
  <si>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</si>
  <si>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</si>
  <si>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</si>
  <si>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</si>
  <si>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</si>
  <si>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</si>
  <si>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</si>
  <si>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</si>
  <si>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</si>
  <si>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</si>
  <si>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</si>
  <si>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</si>
  <si>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</si>
  <si>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</si>
  <si>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</si>
  <si>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</si>
  <si>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</si>
  <si>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</si>
  <si>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</si>
  <si>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</si>
  <si>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</si>
  <si>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</si>
  <si>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</si>
  <si>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</si>
  <si>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</si>
  <si>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</si>
  <si>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</si>
  <si>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</si>
  <si>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</si>
  <si>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</si>
  <si>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</si>
  <si>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</si>
  <si>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</si>
  <si>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</si>
  <si>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</si>
  <si>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</si>
  <si>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</si>
  <si>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</si>
  <si>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</si>
  <si>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</si>
  <si>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</si>
  <si>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</si>
  <si>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</si>
  <si>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</si>
  <si>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</si>
  <si>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</si>
  <si>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</si>
  <si>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</si>
  <si>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</si>
  <si>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</si>
  <si>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</si>
  <si>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</si>
  <si>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</si>
  <si>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</si>
  <si>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</si>
  <si>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</si>
  <si>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</si>
  <si>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</si>
  <si>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</si>
  <si>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</si>
  <si>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</si>
  <si>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</si>
  <si>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</si>
  <si>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</si>
  <si>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</si>
  <si>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</si>
  <si>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</si>
  <si>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</si>
  <si>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</si>
  <si>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</si>
  <si>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</si>
  <si>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</si>
  <si>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</si>
  <si>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</si>
  <si>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</si>
  <si>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</si>
  <si>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</si>
  <si>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</si>
  <si>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</si>
  <si>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</si>
  <si>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</si>
  <si>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</si>
  <si>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</si>
  <si>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</si>
  <si>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</si>
  <si>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</si>
  <si>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</si>
  <si>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</si>
  <si>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</si>
  <si>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</si>
  <si>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</si>
  <si>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</si>
  <si>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</si>
  <si>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</si>
  <si>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</si>
  <si>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</si>
  <si>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</si>
  <si>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</si>
  <si>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</si>
  <si>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</si>
  <si>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</si>
  <si>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</si>
  <si>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</si>
  <si>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</si>
  <si>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</si>
  <si>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</si>
  <si>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</si>
  <si>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</si>
  <si>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</si>
  <si>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</si>
  <si>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</si>
  <si>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</si>
  <si>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</si>
  <si>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</si>
  <si>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</si>
  <si>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</si>
  <si>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</si>
  <si>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</si>
  <si>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</si>
  <si>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</si>
  <si>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</si>
  <si>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</si>
  <si>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</si>
  <si>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</si>
  <si>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</si>
  <si>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</si>
  <si>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</si>
  <si>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</si>
  <si>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</si>
  <si>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</si>
  <si>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</si>
  <si>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</si>
  <si>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</si>
  <si>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</si>
  <si>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</si>
  <si>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</si>
  <si>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</si>
  <si>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</si>
  <si>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</si>
  <si>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</si>
  <si>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</si>
  <si>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</si>
  <si>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</si>
  <si>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</si>
  <si>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</si>
  <si>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</si>
  <si>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</si>
  <si>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</si>
  <si>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</si>
  <si>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</si>
  <si>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</si>
  <si>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</si>
  <si>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</si>
  <si>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</si>
  <si>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</si>
  <si>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</si>
  <si>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</si>
  <si>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</si>
  <si>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</si>
  <si>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</si>
  <si>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</si>
  <si>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</si>
  <si>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</si>
  <si>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</si>
  <si>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</si>
  <si>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</si>
  <si>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</si>
  <si>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</si>
  <si>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</si>
  <si>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</si>
  <si>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</si>
  <si>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</si>
  <si>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</si>
  <si>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</si>
  <si>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</si>
  <si>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</si>
  <si>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</si>
  <si>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</si>
  <si>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</si>
  <si>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</si>
  <si>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</si>
  <si>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</si>
  <si>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</si>
  <si>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</si>
  <si>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</si>
  <si>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</si>
  <si>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</si>
  <si>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</si>
  <si>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</si>
  <si>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</si>
  <si>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</si>
  <si>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</si>
  <si>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</si>
  <si>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</si>
  <si>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</si>
  <si>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</si>
  <si>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</si>
  <si>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</si>
  <si>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</si>
  <si>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</si>
  <si>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</si>
  <si>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</si>
  <si>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</si>
  <si>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</si>
  <si>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</si>
  <si>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</si>
  <si>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</si>
  <si>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</si>
  <si>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</si>
  <si>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</si>
  <si>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</si>
  <si>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</si>
  <si>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</si>
  <si>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</si>
  <si>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</si>
  <si>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</si>
  <si>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</si>
  <si>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</si>
  <si>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</si>
  <si>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</si>
  <si>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</si>
  <si>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</si>
  <si>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</si>
  <si>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</si>
  <si>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</si>
  <si>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</si>
  <si>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</si>
  <si>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</si>
  <si>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</si>
  <si>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</si>
  <si>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</si>
  <si>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</si>
  <si>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</si>
  <si>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</si>
  <si>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</si>
  <si>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</si>
  <si>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</si>
  <si>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</si>
  <si>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</si>
  <si>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</si>
  <si>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</si>
  <si>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</si>
  <si>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</si>
  <si>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</si>
  <si>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</si>
  <si>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</si>
  <si>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</si>
  <si>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</si>
  <si>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</si>
  <si>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</si>
  <si>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</si>
  <si>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</si>
  <si>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</si>
  <si>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</si>
  <si>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</si>
  <si>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</si>
  <si>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</si>
  <si>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</si>
  <si>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</si>
  <si>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</si>
  <si>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</si>
  <si>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</si>
  <si>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</si>
  <si>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</si>
  <si>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</si>
  <si>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</si>
  <si>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</si>
  <si>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</si>
  <si>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</si>
  <si>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</si>
  <si>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</si>
  <si>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</si>
  <si>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</si>
  <si>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</si>
  <si>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</si>
  <si>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</si>
  <si>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</si>
  <si>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</si>
  <si>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</si>
  <si>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</si>
  <si>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</si>
  <si>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</si>
  <si>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</si>
  <si>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</si>
  <si>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</si>
  <si>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</si>
  <si>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</si>
  <si>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</si>
  <si>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</si>
  <si>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</si>
  <si>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</si>
  <si>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</si>
  <si>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</si>
  <si>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</si>
  <si>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</si>
  <si>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</si>
  <si>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</si>
  <si>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</si>
  <si>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</si>
  <si>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</si>
  <si>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</si>
  <si>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</si>
  <si>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</si>
  <si>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</si>
  <si>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</si>
  <si>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</si>
  <si>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</si>
  <si>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</si>
  <si>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</si>
  <si>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</si>
  <si>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</si>
  <si>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</si>
  <si>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</si>
  <si>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</si>
  <si>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</si>
  <si>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</si>
  <si>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</si>
  <si>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</si>
  <si>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</si>
  <si>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</si>
  <si>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</si>
  <si>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</si>
  <si>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</si>
  <si>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</si>
  <si>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</si>
  <si>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</si>
  <si>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</si>
  <si>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</si>
  <si>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</si>
  <si>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</si>
  <si>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</si>
  <si>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</si>
  <si>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</si>
  <si>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</si>
  <si>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</si>
  <si>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</si>
  <si>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</si>
  <si>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</si>
  <si>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</si>
  <si>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</si>
  <si>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</si>
  <si>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</si>
  <si>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</si>
  <si>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</si>
  <si>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</si>
  <si>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</si>
  <si>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</si>
  <si>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</si>
  <si>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</si>
  <si>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</si>
  <si>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</si>
  <si>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</si>
  <si>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</si>
  <si>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</si>
  <si>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</si>
  <si>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</si>
  <si>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</si>
  <si>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</si>
  <si>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</si>
  <si>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</si>
  <si>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</si>
  <si>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</si>
  <si>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</si>
  <si>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</si>
  <si>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</si>
  <si>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</si>
  <si>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</si>
  <si>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</si>
  <si>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</si>
  <si>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</si>
  <si>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</si>
  <si>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</si>
  <si>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</si>
  <si>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</si>
  <si>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</si>
  <si>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</si>
  <si>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</si>
  <si>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</si>
  <si>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</si>
  <si>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</si>
  <si>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</si>
  <si>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</si>
  <si>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</si>
  <si>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</si>
  <si>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</si>
  <si>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</si>
  <si>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</si>
  <si>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</si>
  <si>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</si>
  <si>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</si>
  <si>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</si>
  <si>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</si>
  <si>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</si>
  <si>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</si>
  <si>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</si>
  <si>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</si>
  <si>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</si>
  <si>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</si>
  <si>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</si>
  <si>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</si>
  <si>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</si>
  <si>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</si>
  <si>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</si>
  <si>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</si>
  <si>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</si>
  <si>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</si>
  <si>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</si>
  <si>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</si>
  <si>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</si>
  <si>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</si>
  <si>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</si>
  <si>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</si>
  <si>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</si>
  <si>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</si>
  <si>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</si>
  <si>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</si>
  <si>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</si>
  <si>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</si>
  <si>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</si>
  <si>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</si>
  <si>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</si>
  <si>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</si>
  <si>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</si>
  <si>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</si>
  <si>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</si>
  <si>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</si>
  <si>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</si>
  <si>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</si>
  <si>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</si>
  <si>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</si>
  <si>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</si>
  <si>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</si>
  <si>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</si>
  <si>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</si>
  <si>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</si>
  <si>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</si>
  <si>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</si>
  <si>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</si>
  <si>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</si>
  <si>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</si>
  <si>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</si>
  <si>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</si>
  <si>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</si>
  <si>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</si>
  <si>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</si>
  <si>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</si>
  <si>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</si>
  <si>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</si>
  <si>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</si>
  <si>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</si>
  <si>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</si>
  <si>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</si>
  <si>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</si>
  <si>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</si>
  <si>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</si>
  <si>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</si>
  <si>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</si>
  <si>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</si>
  <si>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</si>
  <si>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</si>
  <si>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</si>
  <si>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</si>
  <si>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</si>
  <si>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</si>
  <si>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</si>
  <si>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</si>
  <si>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</si>
  <si>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</si>
  <si>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</si>
  <si>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</si>
  <si>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</si>
  <si>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</si>
  <si>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</si>
  <si>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</si>
  <si>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</si>
  <si>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</si>
  <si>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</si>
  <si>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</si>
  <si>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</si>
  <si>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</si>
  <si>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</si>
  <si>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</si>
  <si>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</si>
  <si>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</si>
  <si>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</si>
  <si>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</si>
  <si>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</si>
  <si>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</si>
  <si>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</si>
  <si>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</si>
  <si>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</si>
  <si>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</si>
  <si>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</si>
  <si>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</si>
  <si>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</si>
  <si>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</si>
  <si>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</si>
  <si>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</si>
  <si>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</si>
  <si>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</si>
  <si>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</si>
  <si>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</si>
  <si>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</si>
  <si>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</si>
  <si>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</si>
  <si>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</si>
  <si>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</si>
  <si>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</si>
  <si>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</si>
  <si>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</si>
  <si>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</si>
  <si>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</si>
  <si>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</si>
  <si>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</si>
  <si>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</si>
  <si>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</si>
  <si>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</si>
  <si>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</si>
  <si>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</si>
  <si>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</si>
  <si>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</si>
  <si>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</si>
  <si>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</si>
  <si>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</si>
  <si>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</si>
  <si>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</si>
  <si>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</si>
  <si>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</si>
  <si>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</si>
  <si>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</si>
  <si>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</si>
  <si>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</si>
  <si>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</si>
  <si>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</si>
  <si>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</si>
  <si>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</si>
  <si>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</si>
  <si>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</si>
  <si>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</si>
  <si>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</si>
  <si>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</si>
  <si>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</si>
  <si>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</si>
  <si>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</si>
  <si>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</si>
  <si>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</si>
  <si>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</si>
  <si>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</si>
  <si>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</si>
  <si>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</si>
  <si>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</si>
  <si>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</si>
  <si>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</si>
  <si>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</si>
  <si>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</si>
  <si>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</si>
  <si>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</si>
  <si>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</si>
  <si>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</si>
  <si>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</si>
  <si>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</si>
  <si>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</si>
  <si>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</si>
  <si>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</si>
  <si>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</si>
  <si>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</si>
  <si>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</si>
  <si>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</si>
  <si>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</si>
  <si>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</si>
  <si>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</si>
  <si>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</si>
  <si>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</si>
  <si>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</si>
  <si>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</si>
  <si>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</si>
  <si>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</si>
  <si>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</si>
  <si>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</si>
  <si>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</si>
  <si>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</si>
  <si>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</si>
  <si>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</si>
  <si>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</si>
  <si>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</si>
  <si>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</si>
  <si>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</si>
  <si>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</si>
  <si>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</si>
  <si>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</si>
  <si>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</si>
  <si>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</si>
  <si>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</si>
  <si>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</si>
  <si>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</si>
  <si>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</si>
  <si>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</si>
  <si>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</si>
  <si>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</si>
  <si>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</si>
  <si>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</si>
  <si>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</si>
  <si>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</si>
  <si>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</si>
  <si>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</si>
  <si>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</si>
  <si>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</si>
  <si>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</si>
  <si>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</si>
  <si>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</si>
  <si>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</si>
  <si>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</si>
  <si>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</si>
  <si>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</si>
  <si>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</si>
  <si>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</si>
  <si>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</si>
  <si>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</si>
  <si>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</si>
  <si>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</si>
  <si>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</si>
  <si>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</si>
  <si>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</si>
  <si>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</si>
  <si>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</si>
  <si>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</si>
  <si>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</si>
  <si>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</si>
  <si>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</si>
  <si>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</si>
  <si>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</si>
  <si>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</si>
  <si>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</si>
  <si>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</si>
  <si>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</si>
  <si>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</si>
  <si>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</si>
  <si>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</si>
  <si>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</si>
  <si>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</si>
  <si>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</si>
  <si>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</si>
  <si>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</si>
  <si>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</si>
  <si>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</si>
  <si>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</si>
  <si>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</si>
  <si>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</si>
  <si>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</si>
  <si>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</si>
  <si>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</si>
  <si>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</si>
  <si>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</si>
  <si>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</si>
  <si>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</si>
  <si>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</si>
  <si>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</si>
  <si>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</si>
  <si>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</si>
  <si>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</si>
  <si>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</si>
  <si>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</si>
  <si>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</si>
  <si>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</si>
  <si>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</si>
  <si>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</si>
  <si>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</si>
  <si>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</si>
  <si>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</si>
  <si>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</si>
  <si>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</si>
  <si>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</si>
  <si>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</si>
  <si>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</si>
  <si>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</si>
  <si>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</si>
  <si>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</si>
  <si>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</si>
  <si>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</si>
  <si>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</si>
  <si>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</si>
  <si>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</si>
  <si>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</si>
  <si>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</si>
  <si>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</si>
  <si>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</si>
  <si>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</si>
  <si>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</si>
  <si>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</si>
  <si>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</si>
  <si>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</si>
  <si>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</si>
  <si>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</si>
  <si>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</si>
  <si>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</si>
  <si>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</si>
  <si>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</si>
  <si>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</si>
  <si>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</si>
  <si>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</si>
  <si>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</si>
  <si>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</si>
  <si>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</si>
  <si>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</si>
  <si>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</si>
  <si>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</si>
  <si>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</si>
  <si>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</si>
  <si>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</si>
  <si>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</si>
  <si>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</si>
  <si>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</si>
  <si>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</si>
  <si>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</si>
  <si>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</si>
  <si>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</si>
  <si>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</si>
  <si>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</si>
  <si>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</si>
  <si>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</si>
  <si>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</si>
  <si>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</si>
  <si>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</si>
  <si>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</si>
  <si>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</si>
  <si>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</si>
  <si>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</si>
  <si>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</si>
  <si>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</si>
  <si>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</si>
  <si>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</si>
  <si>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</si>
  <si>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</si>
  <si>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</si>
  <si>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</si>
  <si>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</si>
  <si>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</si>
  <si>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</si>
  <si>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</si>
  <si>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</si>
  <si>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</si>
  <si>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</si>
  <si>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</si>
  <si>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</si>
  <si>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</si>
  <si>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</si>
  <si>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</si>
  <si>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</si>
  <si>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</si>
  <si>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</si>
  <si>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</si>
  <si>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</si>
  <si>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</si>
  <si>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</si>
  <si>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</si>
  <si>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</si>
  <si>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</si>
  <si>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</si>
  <si>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</si>
  <si>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</si>
  <si>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</si>
  <si>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</si>
  <si>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</si>
  <si>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</si>
  <si>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</si>
  <si>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</si>
  <si>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</si>
  <si>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</si>
  <si>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</si>
  <si>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</si>
  <si>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</si>
  <si>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</si>
  <si>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</si>
  <si>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</si>
  <si>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</si>
  <si>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</si>
  <si>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</si>
  <si>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</si>
  <si>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</si>
  <si>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</si>
  <si>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</si>
  <si>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</si>
  <si>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</si>
  <si>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</si>
  <si>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</si>
  <si>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</si>
  <si>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</si>
  <si>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</si>
  <si>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</si>
  <si>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</si>
  <si>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</si>
  <si>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</si>
  <si>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</si>
  <si>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</si>
  <si>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</si>
  <si>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</si>
  <si>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</si>
  <si>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</si>
  <si>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</si>
  <si>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</si>
  <si>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</si>
  <si>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</si>
  <si>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</si>
  <si>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</si>
  <si>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</si>
  <si>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</si>
  <si>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</si>
  <si>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</si>
  <si>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</si>
  <si>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</si>
  <si>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</si>
  <si>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</si>
  <si>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</si>
  <si>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</si>
  <si>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</si>
  <si>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</si>
  <si>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</si>
  <si>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</si>
  <si>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</si>
  <si>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</si>
  <si>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</si>
  <si>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</si>
  <si>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</si>
  <si>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</si>
  <si>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</si>
  <si>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</si>
  <si>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</si>
  <si>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</si>
  <si>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</si>
  <si>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</si>
  <si>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</si>
  <si>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</si>
  <si>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</si>
  <si>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</si>
  <si>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</si>
  <si>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</si>
  <si>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</si>
  <si>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</si>
  <si>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</si>
  <si>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</si>
  <si>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</si>
  <si>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</si>
  <si>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</si>
  <si>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</si>
  <si>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</si>
  <si>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</si>
  <si>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</si>
  <si>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</si>
  <si>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</si>
  <si>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</si>
  <si>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</si>
  <si>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</si>
  <si>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</si>
  <si>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</si>
  <si>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</si>
  <si>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</si>
  <si>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</si>
  <si>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</si>
  <si>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</si>
  <si>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</si>
  <si>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</si>
  <si>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</si>
  <si>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</si>
  <si>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</si>
  <si>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</si>
  <si>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</si>
  <si>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</si>
  <si>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</si>
  <si>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</si>
  <si>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</si>
  <si>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</si>
  <si>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</si>
  <si>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</si>
  <si>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</si>
  <si>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</si>
  <si>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</si>
  <si>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</si>
  <si>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</si>
  <si>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</si>
  <si>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</si>
  <si>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</si>
  <si>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</si>
  <si>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</si>
  <si>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</si>
  <si>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</si>
  <si>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</si>
  <si>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</si>
  <si>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</si>
  <si>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</si>
  <si>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</si>
  <si>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</si>
  <si>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</si>
  <si>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</si>
  <si>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</si>
  <si>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</si>
  <si>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</si>
  <si>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</si>
  <si>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</si>
  <si>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</si>
  <si>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</si>
  <si>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</si>
  <si>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</si>
  <si>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</si>
  <si>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</si>
  <si>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</si>
  <si>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</si>
  <si>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</si>
  <si>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</si>
  <si>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</si>
  <si>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</si>
  <si>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</si>
  <si>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</si>
  <si>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</si>
  <si>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</si>
  <si>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</si>
  <si>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</si>
  <si>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</si>
  <si>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</si>
  <si>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</si>
  <si>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</si>
  <si>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</si>
  <si>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</si>
  <si>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</si>
  <si>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</si>
  <si>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</si>
  <si>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</si>
  <si>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</si>
  <si>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</si>
  <si>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</si>
  <si>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</si>
  <si>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</si>
  <si>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</si>
  <si>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</si>
  <si>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</si>
  <si>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</si>
  <si>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</si>
  <si>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</si>
  <si>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</si>
  <si>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</si>
  <si>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</si>
  <si>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</si>
  <si>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</si>
  <si>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</si>
  <si>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</si>
  <si>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</si>
  <si>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</si>
  <si>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</si>
  <si>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</si>
  <si>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</si>
  <si>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</si>
  <si>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</si>
  <si>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</si>
  <si>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</si>
  <si>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</si>
  <si>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</si>
  <si>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</si>
  <si>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</si>
  <si>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</si>
  <si>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</si>
  <si>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</si>
  <si>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</si>
  <si>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</si>
  <si>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</si>
  <si>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</si>
  <si>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</si>
  <si>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</si>
  <si>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</si>
  <si>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</si>
  <si>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</si>
  <si>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</si>
  <si>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</si>
  <si>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</si>
  <si>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</si>
  <si>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</si>
  <si>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</si>
  <si>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</si>
  <si>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</si>
  <si>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</si>
  <si>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</si>
  <si>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</si>
  <si>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</si>
  <si>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</si>
  <si>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</si>
  <si>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</si>
  <si>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</si>
  <si>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</si>
  <si>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</si>
  <si>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</si>
  <si>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</si>
  <si>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</si>
  <si>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</si>
  <si>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</si>
  <si>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</si>
  <si>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</si>
  <si>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</si>
  <si>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</si>
  <si>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</si>
  <si>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</si>
  <si>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</si>
  <si>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</si>
  <si>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</si>
  <si>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</si>
  <si>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</si>
  <si>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</si>
  <si>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</si>
  <si>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</si>
  <si>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</si>
  <si>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</si>
  <si>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</si>
  <si>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</si>
  <si>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</si>
  <si>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</si>
  <si>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</si>
  <si>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</si>
  <si>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</si>
  <si>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</si>
  <si>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</si>
  <si>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</si>
  <si>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</si>
  <si>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</si>
  <si>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</si>
  <si>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</si>
  <si>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</si>
  <si>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</si>
  <si>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</si>
  <si>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</si>
  <si>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</si>
  <si>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</si>
  <si>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</si>
  <si>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</si>
  <si>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</si>
  <si>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</si>
  <si>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</si>
  <si>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</si>
  <si>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</si>
  <si>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</si>
  <si>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</si>
  <si>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</si>
  <si>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</si>
  <si>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</si>
  <si>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</si>
  <si>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</si>
  <si>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</si>
  <si>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</si>
  <si>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</si>
  <si>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</si>
  <si>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</si>
  <si>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</si>
  <si>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</si>
  <si>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</si>
  <si>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</si>
  <si>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</si>
  <si>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</si>
  <si>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</si>
  <si>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</si>
  <si>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</si>
  <si>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</si>
  <si>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</si>
  <si>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</si>
  <si>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</si>
  <si>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</si>
  <si>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</si>
  <si>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</si>
  <si>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</si>
  <si>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</si>
  <si>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</si>
  <si>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</si>
  <si>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</si>
  <si>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</si>
  <si>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</si>
  <si>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</si>
  <si>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</si>
  <si>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</si>
  <si>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</si>
  <si>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</si>
  <si>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</si>
  <si>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</si>
  <si>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</si>
  <si>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</si>
  <si>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</si>
  <si>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</si>
  <si>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</si>
  <si>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</si>
  <si>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</si>
  <si>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</si>
  <si>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</si>
  <si>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</si>
  <si>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</si>
  <si>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</si>
  <si>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</si>
  <si>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</si>
  <si>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</si>
  <si>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</si>
  <si>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</si>
  <si>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</si>
  <si>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</si>
  <si>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</si>
  <si>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</si>
  <si>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</si>
  <si>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</si>
  <si>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</si>
  <si>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</si>
  <si>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</si>
  <si>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</si>
  <si>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</si>
  <si>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</si>
  <si>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</si>
  <si>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</si>
  <si>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</si>
  <si>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</si>
  <si>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</si>
  <si>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</si>
  <si>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</si>
  <si>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</si>
  <si>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</si>
  <si>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</si>
  <si>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</si>
  <si>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</si>
  <si>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</si>
  <si>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</si>
  <si>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</si>
  <si>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</si>
  <si>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</si>
  <si>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</si>
  <si>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</si>
  <si>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</si>
  <si>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</si>
  <si>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</si>
  <si>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</si>
  <si>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</si>
  <si>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</si>
  <si>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</si>
  <si>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</si>
  <si>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</si>
  <si>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</si>
  <si>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</si>
  <si>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</si>
  <si>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</si>
  <si>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</si>
  <si>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</si>
  <si>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</si>
  <si>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</si>
  <si>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</si>
  <si>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</si>
  <si>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</si>
  <si>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</si>
  <si>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</si>
  <si>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</si>
  <si>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</si>
  <si>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</si>
  <si>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</si>
  <si>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</si>
  <si>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</si>
  <si>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</si>
  <si>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</si>
  <si>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</si>
  <si>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</si>
  <si>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</si>
  <si>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</si>
  <si>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</si>
  <si>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</si>
  <si>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</si>
  <si>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</si>
  <si>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</si>
  <si>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</si>
  <si>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</si>
  <si>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</si>
  <si>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</si>
  <si>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</si>
  <si>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</si>
  <si>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</si>
  <si>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</si>
  <si>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</si>
  <si>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</si>
  <si>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</si>
  <si>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</si>
  <si>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</si>
  <si>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</si>
  <si>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</si>
  <si>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</si>
  <si>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</si>
  <si>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</si>
  <si>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</si>
  <si>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</si>
  <si>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</si>
  <si>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</si>
  <si>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</si>
  <si>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</si>
  <si>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</si>
  <si>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</si>
  <si>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</si>
  <si>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</si>
  <si>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</si>
  <si>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</si>
  <si>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</si>
  <si>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</si>
  <si>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</si>
  <si>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</si>
  <si>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</si>
  <si>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</si>
  <si>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</si>
  <si>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</si>
  <si>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</si>
  <si>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</si>
  <si>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</si>
  <si>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</si>
  <si>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</si>
  <si>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</si>
  <si>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</si>
  <si>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</si>
  <si>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</si>
  <si>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</si>
  <si>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</si>
  <si>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</si>
  <si>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</si>
  <si>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</si>
  <si>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</si>
  <si>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</si>
  <si>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</si>
  <si>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</si>
  <si>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</si>
  <si>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</si>
  <si>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</si>
  <si>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</si>
  <si>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</si>
  <si>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</si>
  <si>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</si>
  <si>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</si>
  <si>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</si>
  <si>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</si>
  <si>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</si>
  <si>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</si>
  <si>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</si>
  <si>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</si>
  <si>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</si>
  <si>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</si>
  <si>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</si>
  <si>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</si>
  <si>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</si>
  <si>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</si>
  <si>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</si>
  <si>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</si>
  <si>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</si>
  <si>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</si>
  <si>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</si>
  <si>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</si>
  <si>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</si>
  <si>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</si>
  <si>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</si>
  <si>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</si>
  <si>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</si>
  <si>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</si>
  <si>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</si>
  <si>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</si>
  <si>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</si>
  <si>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</si>
  <si>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</si>
  <si>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</si>
  <si>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</si>
  <si>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</si>
  <si>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</si>
  <si>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</si>
  <si>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</si>
  <si>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</si>
  <si>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</si>
  <si>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</si>
  <si>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</si>
  <si>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</si>
  <si>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</si>
  <si>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</si>
  <si>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</si>
  <si>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</si>
  <si>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</si>
  <si>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</si>
  <si>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</si>
  <si>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</si>
  <si>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</si>
  <si>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</si>
  <si>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</si>
  <si>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</si>
  <si>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</si>
  <si>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</si>
  <si>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</si>
  <si>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</si>
  <si>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</si>
  <si>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</si>
  <si>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</si>
  <si>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</si>
  <si>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</si>
  <si>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</si>
  <si>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</si>
  <si>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</si>
  <si>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</si>
  <si>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</si>
  <si>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</si>
  <si>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</si>
  <si>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</si>
  <si>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</si>
  <si>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</si>
  <si>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</si>
  <si>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</si>
  <si>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</si>
  <si>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</si>
  <si>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</si>
  <si>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</si>
  <si>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</si>
  <si>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</si>
  <si>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</si>
  <si>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</si>
  <si>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</si>
  <si>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</si>
  <si>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</si>
  <si>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</si>
  <si>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</si>
  <si>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</si>
  <si>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</si>
  <si>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</si>
  <si>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</si>
  <si>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</si>
  <si>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</si>
  <si>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</si>
  <si>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</si>
  <si>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</si>
  <si>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</si>
  <si>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</si>
  <si>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</si>
  <si>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</si>
  <si>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</si>
  <si>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</si>
  <si>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</si>
  <si>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</si>
  <si>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</si>
  <si>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</si>
  <si>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</si>
  <si>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</si>
  <si>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</si>
  <si>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</si>
  <si>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</si>
  <si>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</si>
  <si>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</si>
  <si>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</si>
  <si>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</si>
  <si>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</si>
  <si>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</si>
  <si>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</si>
  <si>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</si>
  <si>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</si>
  <si>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</si>
  <si>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</si>
  <si>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</si>
  <si>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</si>
  <si>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</si>
  <si>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</si>
  <si>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</si>
  <si>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</si>
  <si>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</si>
  <si>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</si>
  <si>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</si>
  <si>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</si>
  <si>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</si>
  <si>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</si>
  <si>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</si>
  <si>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</si>
  <si>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</si>
  <si>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</si>
  <si>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</si>
  <si>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</si>
  <si>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</si>
  <si>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</si>
  <si>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</si>
  <si>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</si>
  <si>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</si>
  <si>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</si>
  <si>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</si>
  <si>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</si>
  <si>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</si>
  <si>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</si>
  <si>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</si>
  <si>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</si>
  <si>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</si>
  <si>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</si>
  <si>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</si>
  <si>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</si>
  <si>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</si>
  <si>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</si>
  <si>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</si>
  <si>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</si>
  <si>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</si>
  <si>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</si>
  <si>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</si>
  <si>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</si>
  <si>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</si>
  <si>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</si>
  <si>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</si>
  <si>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</si>
  <si>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</si>
  <si>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</si>
  <si>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</si>
  <si>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</si>
  <si>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</si>
  <si>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</si>
  <si>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</si>
  <si>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</si>
  <si>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</si>
  <si>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</si>
  <si>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</si>
  <si>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</si>
  <si>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</si>
  <si>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</si>
  <si>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</si>
  <si>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</si>
  <si>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</si>
  <si>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</si>
  <si>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</si>
  <si>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</si>
  <si>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</si>
  <si>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</si>
  <si>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</si>
  <si>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</si>
  <si>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</si>
  <si>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</si>
  <si>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</si>
  <si>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</si>
  <si>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</si>
  <si>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</si>
  <si>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</si>
  <si>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</si>
  <si>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</si>
  <si>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</si>
  <si>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</si>
  <si>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</si>
  <si>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</si>
  <si>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</si>
  <si>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</si>
  <si>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</si>
  <si>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</si>
  <si>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</si>
  <si>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</si>
  <si>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</si>
  <si>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</si>
  <si>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</si>
  <si>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</si>
  <si>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</si>
  <si>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</si>
  <si>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</si>
  <si>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</si>
  <si>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</si>
  <si>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</si>
  <si>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</si>
  <si>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</si>
  <si>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</si>
  <si>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</si>
  <si>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</si>
  <si>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</si>
  <si>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</si>
  <si>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</si>
  <si>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</si>
  <si>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</si>
  <si>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</si>
  <si>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</si>
  <si>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</si>
  <si>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</si>
  <si>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</si>
  <si>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</si>
  <si>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</si>
  <si>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</si>
  <si>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</si>
  <si>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</si>
  <si>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</si>
  <si>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</si>
  <si>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</si>
  <si>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</si>
  <si>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</si>
  <si>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</si>
  <si>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</si>
  <si>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</si>
  <si>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</si>
  <si>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</si>
  <si>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</si>
  <si>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</si>
  <si>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</si>
  <si>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</si>
  <si>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</si>
  <si>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</si>
  <si>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</si>
  <si>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</si>
  <si>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</si>
  <si>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</si>
  <si>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</si>
  <si>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</si>
  <si>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</si>
  <si>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</si>
  <si>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</si>
  <si>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</si>
  <si>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</si>
  <si>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</si>
  <si>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</si>
  <si>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</si>
  <si>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</si>
  <si>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</si>
  <si>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</si>
  <si>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</si>
  <si>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</si>
  <si>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</si>
  <si>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</si>
  <si>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</si>
  <si>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</si>
  <si>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</si>
  <si>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</si>
  <si>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</si>
  <si>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</si>
  <si>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</si>
  <si>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</si>
  <si>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</si>
  <si>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</si>
  <si>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</si>
  <si>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</si>
  <si>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</si>
  <si>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</si>
  <si>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</si>
  <si>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</si>
  <si>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</si>
  <si>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</si>
  <si>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</si>
  <si>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</si>
  <si>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</si>
  <si>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</si>
  <si>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</si>
  <si>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</si>
  <si>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</si>
  <si>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</si>
  <si>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</si>
  <si>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</si>
  <si>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</si>
  <si>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</si>
  <si>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</si>
  <si>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</si>
  <si>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</si>
  <si>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</si>
  <si>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</si>
  <si>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</si>
  <si>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</si>
  <si>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</si>
  <si>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</si>
  <si>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</si>
  <si>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</si>
  <si>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</si>
  <si>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</si>
  <si>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</si>
  <si>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</si>
  <si>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</si>
  <si>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</si>
  <si>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</si>
  <si>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</si>
  <si>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</si>
  <si>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</si>
  <si>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</si>
  <si>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</si>
  <si>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</si>
  <si>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</si>
  <si>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</si>
  <si>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</si>
  <si>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</si>
  <si>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</si>
  <si>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</si>
  <si>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</si>
  <si>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</si>
  <si>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</si>
  <si>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</si>
  <si>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</si>
  <si>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</si>
  <si>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</si>
  <si>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</si>
  <si>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</si>
  <si>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</si>
  <si>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</si>
  <si>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</si>
  <si>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</si>
  <si>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</si>
  <si>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</si>
  <si>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</si>
  <si>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</si>
  <si>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</si>
  <si>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</si>
  <si>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</si>
  <si>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</si>
  <si>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</si>
  <si>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</si>
  <si>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</si>
  <si>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</si>
  <si>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</si>
  <si>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</si>
  <si>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</si>
  <si>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</si>
  <si>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</si>
  <si>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</si>
  <si>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</si>
  <si>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</si>
  <si>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</si>
  <si>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</si>
  <si>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</si>
  <si>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</si>
  <si>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</si>
  <si>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</si>
  <si>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</si>
  <si>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</si>
  <si>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</si>
  <si>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</si>
  <si>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</si>
  <si>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</si>
  <si>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</si>
  <si>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</si>
  <si>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</si>
  <si>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</si>
  <si>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</si>
  <si>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</si>
  <si>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</si>
  <si>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</si>
  <si>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</si>
  <si>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</si>
  <si>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</si>
  <si>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</si>
  <si>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</si>
  <si>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</si>
  <si>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</si>
  <si>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</si>
  <si>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</si>
  <si>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</si>
  <si>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</si>
  <si>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</si>
  <si>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</si>
  <si>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</si>
  <si>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</si>
  <si>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</si>
  <si>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</si>
  <si>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</si>
  <si>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</si>
  <si>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</si>
  <si>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</si>
  <si>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</si>
  <si>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</si>
  <si>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</si>
  <si>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</si>
  <si>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</si>
  <si>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</si>
  <si>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</si>
  <si>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</si>
  <si>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</si>
  <si>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</si>
  <si>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</si>
  <si>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</si>
  <si>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</si>
  <si>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</si>
  <si>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</si>
  <si>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</si>
  <si>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</si>
  <si>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</si>
  <si>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</si>
  <si>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</si>
  <si>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</si>
  <si>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</si>
  <si>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</si>
  <si>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</si>
  <si>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</si>
  <si>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</si>
  <si>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</si>
  <si>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</si>
  <si>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</si>
  <si>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</si>
  <si>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</si>
  <si>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</si>
  <si>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</si>
  <si>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</si>
  <si>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</si>
  <si>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</si>
  <si>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</si>
  <si>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</si>
  <si>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</si>
  <si>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</si>
  <si>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</si>
  <si>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</si>
  <si>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</si>
  <si>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</si>
  <si>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</si>
  <si>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</si>
  <si>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</si>
  <si>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</si>
  <si>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</si>
  <si>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</si>
  <si>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</si>
  <si>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</si>
  <si>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</si>
  <si>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</si>
  <si>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</si>
  <si>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</si>
  <si>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</si>
  <si>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</si>
  <si>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</si>
  <si>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</si>
  <si>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</si>
  <si>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</si>
  <si>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</si>
  <si>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</si>
  <si>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</si>
  <si>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</si>
  <si>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</si>
  <si>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</si>
  <si>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</si>
  <si>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</si>
  <si>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</si>
  <si>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</si>
  <si>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</si>
  <si>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</si>
  <si>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</si>
  <si>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</si>
  <si>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</si>
  <si>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</si>
  <si>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</si>
  <si>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</si>
  <si>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</si>
  <si>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</si>
  <si>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</si>
  <si>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</si>
  <si>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</si>
  <si>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</si>
  <si>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</si>
  <si>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</si>
  <si>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</si>
  <si>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</si>
  <si>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</si>
  <si>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</si>
  <si>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</si>
  <si>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</si>
  <si>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</si>
  <si>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</si>
  <si>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</si>
  <si>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</si>
  <si>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</si>
  <si>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</si>
  <si>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</si>
  <si>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</si>
  <si>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</si>
  <si>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</si>
  <si>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</si>
  <si>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</si>
  <si>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</si>
  <si>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</si>
  <si>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</si>
  <si>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</si>
  <si>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</si>
  <si>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</si>
  <si>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</si>
  <si>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</si>
  <si>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</si>
  <si>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JOYCE LAMBERT, JULIEN FLORENTIN</t>
  </si>
  <si>
    <t xml:space="preserve">VAR</t>
  </si>
  <si>
    <t xml:space="preserve">VAR A NICE</t>
  </si>
  <si>
    <t xml:space="preserve">06213000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</si>
  <si>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</si>
  <si>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</si>
  <si>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</si>
  <si>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</si>
  <si>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</si>
  <si>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</si>
  <si>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</si>
  <si>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</si>
  <si>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</si>
  <si>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niveau trophique</t>
  </si>
  <si>
    <t xml:space="preserve">moyen</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</si>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</sst>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42970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11.0555555555556</v>
      </c>
      <c r="N5" s="324"/>
      <c r="O5" s="325" t="s">
        <v>134</v>
      </c>
      <c r="P5" s="326" t="n">
        <v>12.5</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100</v>
      </c>
      <c r="C7" s="342"/>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11.2222222222222</v>
      </c>
      <c r="P8" s="356" t="n">
        <f aca="false">IF(ISERROR(AVERAGE(K23:K82)),"  ",AVERAGE(K23:K82))</f>
        <v>1.44444444444444</v>
      </c>
      <c r="Q8" s="357"/>
      <c r="R8" s="281"/>
      <c r="S8" s="281"/>
      <c r="T8" s="281"/>
      <c r="U8" s="281"/>
      <c r="V8" s="281"/>
      <c r="W8" s="295"/>
      <c r="X8" s="0"/>
      <c r="Y8" s="0"/>
      <c r="Z8" s="0"/>
    </row>
    <row r="9" customFormat="false" ht="12.75" hidden="false" customHeight="false" outlineLevel="0" collapsed="false">
      <c r="A9" s="314" t="s">
        <v>3399</v>
      </c>
      <c r="B9" s="358" t="n">
        <v>19</v>
      </c>
      <c r="C9" s="359"/>
      <c r="D9" s="360"/>
      <c r="E9" s="360"/>
      <c r="F9" s="361" t="n">
        <f aca="false">($B9*$B$7+$C9*$C$7)/100</f>
        <v>19</v>
      </c>
      <c r="G9" s="362"/>
      <c r="H9" s="317"/>
      <c r="I9" s="281"/>
      <c r="J9" s="363"/>
      <c r="K9" s="364"/>
      <c r="L9" s="347"/>
      <c r="M9" s="365"/>
      <c r="N9" s="355" t="s">
        <v>3400</v>
      </c>
      <c r="O9" s="356" t="n">
        <f aca="false">IF(ISERROR(STDEVP(J23:J82))," ",STDEVP(J23:J82))</f>
        <v>3.4569664858009</v>
      </c>
      <c r="P9" s="356" t="n">
        <f aca="false">IF(ISERROR(STDEVP(K23:K82)),"  ",STDEVP(K23:K82))</f>
        <v>0.684934889218775</v>
      </c>
      <c r="Q9" s="357"/>
      <c r="R9" s="281"/>
      <c r="S9" s="281"/>
      <c r="T9" s="281"/>
      <c r="U9" s="281"/>
      <c r="V9" s="281"/>
      <c r="W9" s="295"/>
      <c r="X9" s="0"/>
      <c r="Y9" s="0"/>
      <c r="Z9" s="0"/>
    </row>
    <row r="10" customFormat="false" ht="12.75" hidden="false" customHeight="false" outlineLevel="0" collapsed="false">
      <c r="A10" s="314" t="s">
        <v>3401</v>
      </c>
      <c r="B10" s="366" t="s">
        <v>3402</v>
      </c>
      <c r="C10" s="367"/>
      <c r="D10" s="360"/>
      <c r="E10" s="360"/>
      <c r="F10" s="361"/>
      <c r="G10" s="362"/>
      <c r="H10" s="330"/>
      <c r="I10" s="281"/>
      <c r="J10" s="368"/>
      <c r="K10" s="369" t="s">
        <v>3403</v>
      </c>
      <c r="L10" s="370"/>
      <c r="M10" s="371"/>
      <c r="N10" s="355" t="s">
        <v>3404</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5</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3</v>
      </c>
      <c r="M13" s="381"/>
      <c r="N13" s="389" t="s">
        <v>3412</v>
      </c>
      <c r="O13" s="390" t="n">
        <f aca="false">COUNTIF(F23:F82,"&gt;0")</f>
        <v>14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5</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0.642857142857143</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18.69</v>
      </c>
      <c r="C20" s="433" t="n">
        <f aca="false">SUM(C23:C82)</f>
        <v>0</v>
      </c>
      <c r="D20" s="434"/>
      <c r="E20" s="435" t="s">
        <v>3425</v>
      </c>
      <c r="F20" s="436" t="n">
        <f aca="false">($B20*$B$7+$C20*$C$7)/100</f>
        <v>18.69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18.69</v>
      </c>
      <c r="C21" s="444" t="n">
        <f aca="false">C20*C7/100</f>
        <v>0</v>
      </c>
      <c r="D21" s="445" t="s">
        <v>3428</v>
      </c>
      <c r="E21" s="446"/>
      <c r="F21" s="447" t="n">
        <f aca="false">B21+C21</f>
        <v>18.69</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127</v>
      </c>
      <c r="B23" s="472" t="n">
        <v>0.05</v>
      </c>
      <c r="C23" s="473"/>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0.05</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15</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15</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187</v>
      </c>
      <c r="B25" s="490" t="n">
        <v>1</v>
      </c>
      <c r="C25" s="491"/>
      <c r="D25" s="492" t="str">
        <f aca="false">IF(ISERROR(VLOOKUP($A25,'liste reference'!$A$6:$B$1174,2,0)),IF(ISERROR(VLOOKUP($A25,'liste reference'!$B$6:$B$1174,1,0)),"",VLOOKUP($A25,'liste reference'!$B$6:$B$1174,1,0)),VLOOKUP($A25,'liste reference'!$A$6:$B$1174,2,0))</f>
        <v>Heribaudiella sp.</v>
      </c>
      <c r="E25" s="493" t="e">
        <f aca="false">IF(D25="",0,VLOOKUP(D25,D$22:D24,1,0))</f>
        <v>#N/A</v>
      </c>
      <c r="F25" s="494" t="n">
        <f aca="false">IF(AND(OR(A25="",A25="!!!!!!"),B25="",C25=""),"",IF(OR(AND(B25="",C25=""),ISERROR(C25+B25)),"!!!",($B25*$B$7+$C25*$C$7)/100))</f>
        <v>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Heribaudiella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6196</v>
      </c>
      <c r="R25" s="484" t="n">
        <f aca="false">IF(ISTEXT(H25),"",(B25*$B$7/100)+(C25*$C$7/100))</f>
        <v>1</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HERSPX</v>
      </c>
      <c r="Z25" s="470" t="n">
        <f aca="false">IF(ISERROR(MATCH(A25,'liste reference'!$A$6:$A$1174,0)),IF(ISERROR(MATCH(A25,'liste reference'!$B$6:$B$1174,0)),"",(MATCH(A25,'liste reference'!$B$6:$B$1174,0))),(MATCH(A25,'liste reference'!$A$6:$A$1174,0)))</f>
        <v>51</v>
      </c>
    </row>
    <row r="26" customFormat="false" ht="12.75" hidden="false" customHeight="false" outlineLevel="0" collapsed="false">
      <c r="A26" s="489" t="s">
        <v>291</v>
      </c>
      <c r="B26" s="490" t="n">
        <v>0.01</v>
      </c>
      <c r="C26" s="491"/>
      <c r="D26" s="492" t="str">
        <f aca="false">IF(ISERROR(VLOOKUP($A26,'liste reference'!$A$6:$B$1174,2,0)),IF(ISERROR(VLOOKUP($A26,'liste reference'!$B$6:$B$1174,1,0)),"",VLOOKUP($A26,'liste reference'!$B$6:$B$1174,1,0)),VLOOKUP($A26,'liste reference'!$A$6:$B$1174,2,0))</f>
        <v>Nostoc sp.</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9</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1105</v>
      </c>
      <c r="R26" s="484" t="n">
        <f aca="false">IF(ISTEXT(H26),"",(B26*$B$7/100)+(C26*$C$7/100))</f>
        <v>0.01</v>
      </c>
      <c r="S26" s="485" t="n">
        <f aca="false">IF(OR(ISTEXT(H26),R26=0),"",IF(R26&lt;0.1,1,IF(R26&lt;1,2,IF(R26&lt;10,3,IF(R26&lt;50,4,IF(R26&gt;=50,5,""))))))</f>
        <v>1</v>
      </c>
      <c r="T26" s="485" t="n">
        <f aca="false">IF(ISERROR(S26*J26),0,S26*J26)</f>
        <v>9</v>
      </c>
      <c r="U26" s="485" t="n">
        <f aca="false">IF(ISERROR(S26*J26*K26),0,S26*J26*K26)</f>
        <v>9</v>
      </c>
      <c r="V26" s="501" t="n">
        <f aca="false">IF(ISERROR(S26*K26),0,S26*K26)</f>
        <v>1</v>
      </c>
      <c r="W26" s="502"/>
      <c r="X26" s="503"/>
      <c r="Y26" s="488" t="str">
        <f aca="false">IF(AND(ISNUMBER(F26),OR(A26="",A26="!!!!!!")),"!!!!!!",IF(A26="new.cod","NEWCOD",IF(AND((Z26=""),ISTEXT(A26),A26&lt;&gt;"!!!!!!"),A26,IF(Z26="","",INDEX('liste reference'!$A$6:$A$1174,Z26)))))</f>
        <v>NOSSPX</v>
      </c>
      <c r="Z26" s="470" t="n">
        <f aca="false">IF(ISERROR(MATCH(A26,'liste reference'!$A$6:$A$1174,0)),IF(ISERROR(MATCH(A26,'liste reference'!$B$6:$B$1174,0)),"",(MATCH(A26,'liste reference'!$B$6:$B$1174,0))),(MATCH(A26,'liste reference'!$A$6:$A$1174,0)))</f>
        <v>84</v>
      </c>
    </row>
    <row r="27" customFormat="false" ht="12.75" hidden="false" customHeight="false" outlineLevel="0" collapsed="false">
      <c r="A27" s="489" t="s">
        <v>343</v>
      </c>
      <c r="B27" s="490" t="n">
        <v>2.5</v>
      </c>
      <c r="C27" s="491"/>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2.5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2.5</v>
      </c>
      <c r="S27" s="485" t="n">
        <f aca="false">IF(OR(ISTEXT(H27),R27=0),"",IF(R27&lt;0.1,1,IF(R27&lt;1,2,IF(R27&lt;10,3,IF(R27&lt;50,4,IF(R27&gt;=50,5,""))))))</f>
        <v>3</v>
      </c>
      <c r="T27" s="485" t="n">
        <f aca="false">IF(ISERROR(S27*J27),0,S27*J27)</f>
        <v>30</v>
      </c>
      <c r="U27" s="485" t="n">
        <f aca="false">IF(ISERROR(S27*J27*K27),0,S27*J27*K27)</f>
        <v>30</v>
      </c>
      <c r="V27" s="501" t="n">
        <f aca="false">IF(ISERROR(S27*K27),0,S27*K27)</f>
        <v>3</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712</v>
      </c>
      <c r="B28" s="490" t="n">
        <v>0.01</v>
      </c>
      <c r="C28" s="491"/>
      <c r="D28" s="492" t="str">
        <f aca="false">IF(ISERROR(VLOOKUP($A28,'liste reference'!$A$6:$B$1174,2,0)),IF(ISERROR(VLOOKUP($A28,'liste reference'!$B$6:$B$1174,1,0)),"",VLOOKUP($A28,'liste reference'!$B$6:$B$1174,1,0)),VLOOKUP($A28,'liste reference'!$A$6:$B$1174,2,0))</f>
        <v>Cinclidotus riparius</v>
      </c>
      <c r="E28" s="493" t="e">
        <f aca="false">IF(D28="",0,VLOOKUP(D28,D$22:D27,1,0))</f>
        <v>#N/A</v>
      </c>
      <c r="F28" s="494" t="n">
        <f aca="false">IF(AND(OR(A28="",A28="!!!!!!"),B28="",C28=""),"",IF(OR(AND(B28="",C28=""),ISERROR(C28+B28)),"!!!",($B28*$B$7+$C28*$C$7)/100))</f>
        <v>0.01</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Cinclidotus riparius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1321</v>
      </c>
      <c r="R28" s="484" t="n">
        <f aca="false">IF(ISTEXT(H28),"",(B28*$B$7/100)+(C28*$C$7/100))</f>
        <v>0.01</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CINRIP</v>
      </c>
      <c r="Z28" s="470" t="n">
        <f aca="false">IF(ISERROR(MATCH(A28,'liste reference'!$A$6:$A$1174,0)),IF(ISERROR(MATCH(A28,'liste reference'!$B$6:$B$1174,0)),"",(MATCH(A28,'liste reference'!$B$6:$B$1174,0))),(MATCH(A28,'liste reference'!$A$6:$A$1174,0)))</f>
        <v>224</v>
      </c>
    </row>
    <row r="29" customFormat="false" ht="12.75" hidden="false" customHeight="false" outlineLevel="0" collapsed="false">
      <c r="A29" s="489" t="s">
        <v>936</v>
      </c>
      <c r="B29" s="490" t="n">
        <v>0.01</v>
      </c>
      <c r="C29" s="491"/>
      <c r="D29" s="492" t="str">
        <f aca="false">IF(ISERROR(VLOOKUP($A29,'liste reference'!$A$6:$B$1174,2,0)),IF(ISERROR(VLOOKUP($A29,'liste reference'!$B$6:$B$1174,1,0)),"",VLOOKUP($A29,'liste reference'!$B$6:$B$1174,1,0)),VLOOKUP($A29,'liste reference'!$A$6:$B$1174,2,0))</f>
        <v>Hygrohypnum luridum</v>
      </c>
      <c r="E29" s="493" t="e">
        <f aca="false">IF(D29="",0,VLOOKUP(D29,D$22:D28,1,0))</f>
        <v>#N/A</v>
      </c>
      <c r="F29" s="494" t="n">
        <f aca="false">IF(AND(OR(A29="",A29="!!!!!!"),B29="",C29=""),"",IF(OR(AND(B29="",C29=""),ISERROR(C29+B29)),"!!!",($B29*$B$7+$C29*$C$7)/100))</f>
        <v>0.01</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19</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Hygrohypnum luridum</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1240</v>
      </c>
      <c r="R29" s="484" t="n">
        <f aca="false">IF(ISTEXT(H29),"",(B29*$B$7/100)+(C29*$C$7/100))</f>
        <v>0.01</v>
      </c>
      <c r="S29" s="485" t="n">
        <f aca="false">IF(OR(ISTEXT(H29),R29=0),"",IF(R29&lt;0.1,1,IF(R29&lt;1,2,IF(R29&lt;10,3,IF(R29&lt;50,4,IF(R29&gt;=50,5,""))))))</f>
        <v>1</v>
      </c>
      <c r="T29" s="485" t="n">
        <f aca="false">IF(ISERROR(S29*J29),0,S29*J29)</f>
        <v>19</v>
      </c>
      <c r="U29" s="485" t="n">
        <f aca="false">IF(ISERROR(S29*J29*K29),0,S29*J29*K29)</f>
        <v>57</v>
      </c>
      <c r="V29" s="501" t="n">
        <f aca="false">IF(ISERROR(S29*K29),0,S29*K29)</f>
        <v>3</v>
      </c>
      <c r="W29" s="502"/>
      <c r="X29" s="503"/>
      <c r="Y29" s="488" t="str">
        <f aca="false">IF(AND(ISNUMBER(F29),OR(A29="",A29="!!!!!!")),"!!!!!!",IF(A29="new.cod","NEWCOD",IF(AND((Z29=""),ISTEXT(A29),A29&lt;&gt;"!!!!!!"),A29,IF(Z29="","",INDEX('liste reference'!$A$6:$A$1174,Z29)))))</f>
        <v>HYGLUR</v>
      </c>
      <c r="Z29" s="470" t="n">
        <f aca="false">IF(ISERROR(MATCH(A29,'liste reference'!$A$6:$A$1174,0)),IF(ISERROR(MATCH(A29,'liste reference'!$B$6:$B$1174,0)),"",(MATCH(A29,'liste reference'!$B$6:$B$1174,0))),(MATCH(A29,'liste reference'!$A$6:$A$1174,0)))</f>
        <v>287</v>
      </c>
    </row>
    <row r="30" customFormat="false" ht="12.75" hidden="false" customHeight="false" outlineLevel="0" collapsed="false">
      <c r="A30" s="489" t="s">
        <v>1122</v>
      </c>
      <c r="B30" s="490" t="n">
        <v>0.01</v>
      </c>
      <c r="C30" s="491"/>
      <c r="D30" s="492" t="str">
        <f aca="false">IF(ISERROR(VLOOKUP($A30,'liste reference'!$A$6:$B$1174,2,0)),IF(ISERROR(VLOOKUP($A30,'liste reference'!$B$6:$B$1174,1,0)),"",VLOOKUP($A30,'liste reference'!$B$6:$B$1174,1,0)),VLOOKUP($A30,'liste reference'!$A$6:$B$1174,2,0))</f>
        <v>Rhynchostegium riparioides</v>
      </c>
      <c r="E30" s="493" t="e">
        <f aca="false">IF(D30="",0,VLOOKUP(D30,D$22:D29,1,0))</f>
        <v>#N/A</v>
      </c>
      <c r="F30" s="494" t="n">
        <f aca="false">IF(AND(OR(A30="",A30="!!!!!!"),B30="",C30=""),"",IF(OR(AND(B30="",C30=""),ISERROR(C30+B30)),"!!!",($B30*$B$7+$C30*$C$7)/100))</f>
        <v>0.01</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31691</v>
      </c>
      <c r="R30" s="484" t="n">
        <f aca="false">IF(ISTEXT(H30),"",(B30*$B$7/100)+(C30*$C$7/100))</f>
        <v>0.01</v>
      </c>
      <c r="S30" s="485" t="n">
        <f aca="false">IF(OR(ISTEXT(H30),R30=0),"",IF(R30&lt;0.1,1,IF(R30&lt;1,2,IF(R30&lt;10,3,IF(R30&lt;50,4,IF(R30&gt;=50,5,""))))))</f>
        <v>1</v>
      </c>
      <c r="T30" s="485" t="n">
        <f aca="false">IF(ISERROR(S30*J30),0,S30*J30)</f>
        <v>12</v>
      </c>
      <c r="U30" s="485" t="n">
        <f aca="false">IF(ISERROR(S30*J30*K30),0,S30*J30*K30)</f>
        <v>12</v>
      </c>
      <c r="V30" s="501" t="n">
        <f aca="false">IF(ISERROR(S30*K30),0,S30*K30)</f>
        <v>1</v>
      </c>
      <c r="W30" s="502"/>
      <c r="X30" s="503"/>
      <c r="Y30" s="488" t="str">
        <f aca="false">IF(AND(ISNUMBER(F30),OR(A30="",A30="!!!!!!")),"!!!!!!",IF(A30="new.cod","NEWCOD",IF(AND((Z30=""),ISTEXT(A30),A30&lt;&gt;"!!!!!!"),A30,IF(Z30="","",INDEX('liste reference'!$A$6:$A$1174,Z30)))))</f>
        <v>RHYRIP</v>
      </c>
      <c r="Z30" s="470" t="n">
        <f aca="false">IF(ISERROR(MATCH(A30,'liste reference'!$A$6:$A$1174,0)),IF(ISERROR(MATCH(A30,'liste reference'!$B$6:$B$1174,0)),"",(MATCH(A30,'liste reference'!$B$6:$B$1174,0))),(MATCH(A30,'liste reference'!$A$6:$A$1174,0)))</f>
        <v>345</v>
      </c>
    </row>
    <row r="31" customFormat="false" ht="12.75" hidden="false" customHeight="false" outlineLevel="0" collapsed="false">
      <c r="A31" s="489" t="s">
        <v>1270</v>
      </c>
      <c r="B31" s="490" t="n">
        <v>0.01</v>
      </c>
      <c r="C31" s="491"/>
      <c r="D31" s="492" t="str">
        <f aca="false">IF(ISERROR(VLOOKUP($A31,'liste reference'!$A$6:$B$1174,2,0)),IF(ISERROR(VLOOKUP($A31,'liste reference'!$B$6:$B$1174,1,0)),"",VLOOKUP($A31,'liste reference'!$B$6:$B$1174,1,0)),VLOOKUP($A31,'liste reference'!$A$6:$B$1174,2,0))</f>
        <v>Equisetum ramosissimum</v>
      </c>
      <c r="E31" s="493" t="e">
        <f aca="false">IF(D31="",0,VLOOKUP(D31,D$22:D30,1,0))</f>
        <v>#N/A</v>
      </c>
      <c r="F31" s="494" t="n">
        <f aca="false">IF(AND(OR(A31="",A31="!!!!!!"),B31="",C31=""),"",IF(OR(AND(B31="",C31=""),ISERROR(C31+B31)),"!!!",($B31*$B$7+$C31*$C$7)/100))</f>
        <v>0.01</v>
      </c>
      <c r="G31" s="495" t="str">
        <f aca="false">IF(A31="","",IF(ISERROR(VLOOKUP($A31,'liste reference'!$A$6:$Q$1174,9,0)),IF(ISERROR(VLOOKUP($A31,'liste reference'!$B$6:$Q$1174,8,0)),"    -",VLOOKUP($A31,'liste reference'!$B$6:$Q$1174,8,0)),VLOOKUP($A31,'liste reference'!$A$6:$Q$1174,9,0)))</f>
        <v>PTE</v>
      </c>
      <c r="H31" s="496" t="n">
        <f aca="false">IF(A31="","x",IF(ISERROR(VLOOKUP($A31,'liste reference'!$A$6:$Q$1174,10,0)),IF(ISERROR(VLOOKUP($A31,'liste reference'!$B$6:$Q$1174,9,0)),"x",VLOOKUP($A31,'liste reference'!$B$6:$Q$1174,9,0)),VLOOKUP($A31,'liste reference'!$A$6:$Q$1174,10,0)))</f>
        <v>6</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ramosissimum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29992</v>
      </c>
      <c r="R31" s="484" t="n">
        <f aca="false">IF(ISTEXT(H31),"",(B31*$B$7/100)+(C31*$C$7/100))</f>
        <v>0.01</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EQURAM</v>
      </c>
      <c r="Z31" s="470" t="n">
        <f aca="false">IF(ISERROR(MATCH(A31,'liste reference'!$A$6:$A$1174,0)),IF(ISERROR(MATCH(A31,'liste reference'!$B$6:$B$1174,0)),"",(MATCH(A31,'liste reference'!$B$6:$B$1174,0))),(MATCH(A31,'liste reference'!$A$6:$A$1174,0)))</f>
        <v>390</v>
      </c>
    </row>
    <row r="32" customFormat="false" ht="12.75" hidden="false" customHeight="false" outlineLevel="0" collapsed="false">
      <c r="A32" s="489" t="s">
        <v>1932</v>
      </c>
      <c r="B32" s="490" t="n">
        <v>0.01</v>
      </c>
      <c r="C32" s="491"/>
      <c r="D32" s="492" t="str">
        <f aca="false">IF(ISERROR(VLOOKUP($A32,'liste reference'!$A$6:$B$1174,2,0)),IF(ISERROR(VLOOKUP($A32,'liste reference'!$B$6:$B$1174,1,0)),"",VLOOKUP($A32,'liste reference'!$B$6:$B$1174,1,0)),VLOOKUP($A32,'liste reference'!$A$6:$B$1174,2,0))</f>
        <v>Agrostis stolonifera</v>
      </c>
      <c r="E32" s="493" t="e">
        <f aca="false">IF(D32="",0,VLOOKUP(D32,D$22:D31,1,0))</f>
        <v>#N/A</v>
      </c>
      <c r="F32" s="494" t="n">
        <f aca="false">IF(AND(OR(A32="",A32="!!!!!!"),B32="",C32=""),"",IF(OR(AND(B32="",C32=""),ISERROR(C32+B32)),"!!!",($B32*$B$7+$C32*$C$7)/100))</f>
        <v>0.01</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stolonifera</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1543</v>
      </c>
      <c r="R32" s="484" t="n">
        <f aca="false">IF(ISTEXT(H32),"",(B32*$B$7/100)+(C32*$C$7/100))</f>
        <v>0.01</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AGRSTO</v>
      </c>
      <c r="Z32" s="470" t="n">
        <f aca="false">IF(ISERROR(MATCH(A32,'liste reference'!$A$6:$A$1174,0)),IF(ISERROR(MATCH(A32,'liste reference'!$B$6:$B$1174,0)),"",(MATCH(A32,'liste reference'!$B$6:$B$1174,0))),(MATCH(A32,'liste reference'!$A$6:$A$1174,0)))</f>
        <v>623</v>
      </c>
    </row>
    <row r="33" customFormat="false" ht="12.75" hidden="false" customHeight="false" outlineLevel="0" collapsed="false">
      <c r="A33" s="489" t="s">
        <v>1943</v>
      </c>
      <c r="B33" s="490" t="n">
        <v>0.01</v>
      </c>
      <c r="C33" s="491"/>
      <c r="D33" s="492" t="str">
        <f aca="false">IF(ISERROR(VLOOKUP($A33,'liste reference'!$A$6:$B$1174,2,0)),IF(ISERROR(VLOOKUP($A33,'liste reference'!$B$6:$B$1174,1,0)),"",VLOOKUP($A33,'liste reference'!$B$6:$B$1174,1,0)),VLOOKUP($A33,'liste reference'!$A$6:$B$1174,2,0))</f>
        <v>Bolboschoenus maritimus</v>
      </c>
      <c r="E33" s="493" t="e">
        <f aca="false">IF(D33="",0,VLOOKUP(D33,D$22:D32,1,0))</f>
        <v>#N/A</v>
      </c>
      <c r="F33" s="494" t="n">
        <f aca="false">IF(AND(OR(A33="",A33="!!!!!!"),B33="",C33=""),"",IF(OR(AND(B33="",C33=""),ISERROR(C33+B33)),"!!!",($B33*$B$7+$C33*$C$7)/100))</f>
        <v>0.01</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Bolboschoenus maritimus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19533</v>
      </c>
      <c r="R33" s="484" t="n">
        <f aca="false">IF(ISTEXT(H33),"",(B33*$B$7/100)+(C33*$C$7/100))</f>
        <v>0.01</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BOLMAR</v>
      </c>
      <c r="Z33" s="470" t="n">
        <f aca="false">IF(ISERROR(MATCH(A33,'liste reference'!$A$6:$A$1174,0)),IF(ISERROR(MATCH(A33,'liste reference'!$B$6:$B$1174,0)),"",(MATCH(A33,'liste reference'!$B$6:$B$1174,0))),(MATCH(A33,'liste reference'!$A$6:$A$1174,0)))</f>
        <v>626</v>
      </c>
    </row>
    <row r="34" customFormat="false" ht="12.75" hidden="false" customHeight="false" outlineLevel="0" collapsed="false">
      <c r="A34" s="489" t="s">
        <v>2174</v>
      </c>
      <c r="B34" s="490" t="n">
        <v>0.05</v>
      </c>
      <c r="C34" s="491"/>
      <c r="D34" s="492" t="str">
        <f aca="false">IF(ISERROR(VLOOKUP($A34,'liste reference'!$A$6:$B$1174,2,0)),IF(ISERROR(VLOOKUP($A34,'liste reference'!$B$6:$B$1174,1,0)),"",VLOOKUP($A34,'liste reference'!$B$6:$B$1174,1,0)),VLOOKUP($A34,'liste reference'!$A$6:$B$1174,2,0))</f>
        <v>Phragmites australis</v>
      </c>
      <c r="E34" s="493" t="e">
        <f aca="false">IF(D34="",0,VLOOKUP(D34,D$22:D33,1,0))</f>
        <v>#N/A</v>
      </c>
      <c r="F34" s="494" t="n">
        <f aca="false">IF(AND(OR(A34="",A34="!!!!!!"),B34="",C34=""),"",IF(OR(AND(B34="",C34=""),ISERROR(C34+B34)),"!!!",($B34*$B$7+$C34*$C$7)/100))</f>
        <v>0.05</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9</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Phragmites australis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1579</v>
      </c>
      <c r="R34" s="484" t="n">
        <f aca="false">IF(ISTEXT(H34),"",(B34*$B$7/100)+(C34*$C$7/100))</f>
        <v>0.05</v>
      </c>
      <c r="S34" s="485" t="n">
        <f aca="false">IF(OR(ISTEXT(H34),R34=0),"",IF(R34&lt;0.1,1,IF(R34&lt;1,2,IF(R34&lt;10,3,IF(R34&lt;50,4,IF(R34&gt;=50,5,""))))))</f>
        <v>1</v>
      </c>
      <c r="T34" s="485" t="n">
        <f aca="false">IF(ISERROR(S34*J34),0,S34*J34)</f>
        <v>9</v>
      </c>
      <c r="U34" s="485" t="n">
        <f aca="false">IF(ISERROR(S34*J34*K34),0,S34*J34*K34)</f>
        <v>18</v>
      </c>
      <c r="V34" s="501" t="n">
        <f aca="false">IF(ISERROR(S34*K34),0,S34*K34)</f>
        <v>2</v>
      </c>
      <c r="W34" s="502"/>
      <c r="X34" s="503"/>
      <c r="Y34" s="488" t="str">
        <f aca="false">IF(AND(ISNUMBER(F34),OR(A34="",A34="!!!!!!")),"!!!!!!",IF(A34="new.cod","NEWCOD",IF(AND((Z34=""),ISTEXT(A34),A34&lt;&gt;"!!!!!!"),A34,IF(Z34="","",INDEX('liste reference'!$A$6:$A$1174,Z34)))))</f>
        <v>PHRAUS</v>
      </c>
      <c r="Z34" s="470" t="n">
        <f aca="false">IF(ISERROR(MATCH(A34,'liste reference'!$A$6:$A$1174,0)),IF(ISERROR(MATCH(A34,'liste reference'!$B$6:$B$1174,0)),"",(MATCH(A34,'liste reference'!$B$6:$B$1174,0))),(MATCH(A34,'liste reference'!$A$6:$A$1174,0)))</f>
        <v>709</v>
      </c>
    </row>
    <row r="35" customFormat="false" ht="12.75" hidden="false" customHeight="false" outlineLevel="0" collapsed="false">
      <c r="A35" s="489" t="s">
        <v>2611</v>
      </c>
      <c r="B35" s="490" t="n">
        <v>0.01</v>
      </c>
      <c r="C35" s="491"/>
      <c r="D35" s="492" t="str">
        <f aca="false">IF(ISERROR(VLOOKUP($A35,'liste reference'!$A$6:$B$1174,2,0)),IF(ISERROR(VLOOKUP($A35,'liste reference'!$B$6:$B$1174,1,0)),"",VLOOKUP($A35,'liste reference'!$B$6:$B$1174,1,0)),VLOOKUP($A35,'liste reference'!$A$6:$B$1174,2,0))</f>
        <v>Juncus articulatus</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PHg</v>
      </c>
      <c r="H35" s="496" t="n">
        <f aca="false">IF(A35="","x",IF(ISERROR(VLOOKUP($A35,'liste reference'!$A$6:$Q$1174,10,0)),IF(ISERROR(VLOOKUP($A35,'liste reference'!$B$6:$Q$1174,9,0)),"x",VLOOKUP($A35,'liste reference'!$B$6:$Q$1174,9,0)),VLOOKUP($A35,'liste reference'!$A$6:$Q$1174,10,0)))</f>
        <v>9</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Juncus articulatus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1609</v>
      </c>
      <c r="R35" s="484" t="n">
        <f aca="false">IF(ISTEXT(H35),"",(B35*$B$7/100)+(C35*$C$7/100))</f>
        <v>0.01</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JUNART</v>
      </c>
      <c r="Z35" s="470" t="n">
        <f aca="false">IF(ISERROR(MATCH(A35,'liste reference'!$A$6:$A$1174,0)),IF(ISERROR(MATCH(A35,'liste reference'!$B$6:$B$1174,0)),"",(MATCH(A35,'liste reference'!$B$6:$B$1174,0))),(MATCH(A35,'liste reference'!$A$6:$A$1174,0)))</f>
        <v>873</v>
      </c>
    </row>
    <row r="36" customFormat="false" ht="12.75" hidden="false" customHeight="false" outlineLevel="0" collapsed="false">
      <c r="A36" s="489" t="s">
        <v>2699</v>
      </c>
      <c r="B36" s="490" t="n">
        <v>0.01</v>
      </c>
      <c r="C36" s="491"/>
      <c r="D36" s="492" t="str">
        <f aca="false">IF(ISERROR(VLOOKUP($A36,'liste reference'!$A$6:$B$1174,2,0)),IF(ISERROR(VLOOKUP($A36,'liste reference'!$B$6:$B$1174,1,0)),"",VLOOKUP($A36,'liste reference'!$B$6:$B$1174,1,0)),VLOOKUP($A36,'liste reference'!$A$6:$B$1174,2,0))</f>
        <v>Lythrum salicaria</v>
      </c>
      <c r="E36" s="493" t="e">
        <f aca="false">IF(D36="",0,VLOOKUP(D36,D$22:D35,1,0))</f>
        <v>#N/A</v>
      </c>
      <c r="F36" s="494" t="n">
        <f aca="false">IF(AND(OR(A36="",A36="!!!!!!"),B36="",C36=""),"",IF(OR(AND(B36="",C36=""),ISERROR(C36+B36)),"!!!",($B36*$B$7+$C36*$C$7)/100))</f>
        <v>0.01</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Lythrum salicaria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1823</v>
      </c>
      <c r="R36" s="484" t="n">
        <f aca="false">IF(ISTEXT(H36),"",(B36*$B$7/100)+(C36*$C$7/100))</f>
        <v>0.01</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LYTSAL</v>
      </c>
      <c r="Z36" s="470" t="n">
        <f aca="false">IF(ISERROR(MATCH(A36,'liste reference'!$A$6:$A$1174,0)),IF(ISERROR(MATCH(A36,'liste reference'!$B$6:$B$1174,0)),"",(MATCH(A36,'liste reference'!$B$6:$B$1174,0))),(MATCH(A36,'liste reference'!$A$6:$A$1174,0)))</f>
        <v>902</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18.69</v>
      </c>
      <c r="G83" s="424"/>
      <c r="H83" s="424"/>
      <c r="I83" s="424"/>
      <c r="J83" s="424"/>
      <c r="K83" s="424"/>
      <c r="L83" s="424"/>
      <c r="M83" s="485"/>
      <c r="N83" s="485"/>
      <c r="O83" s="485"/>
      <c r="P83" s="485"/>
      <c r="Q83" s="485"/>
      <c r="R83" s="485"/>
      <c r="S83" s="485"/>
      <c r="T83" s="485"/>
      <c r="U83" s="485"/>
      <c r="V83" s="485" t="n">
        <f aca="false">SUM(V23:V82)</f>
        <v>18</v>
      </c>
      <c r="W83" s="485"/>
      <c r="X83" s="523"/>
      <c r="Y83" s="523"/>
      <c r="Z83" s="524"/>
    </row>
    <row r="84" customFormat="false" ht="12.75" hidden="true" customHeight="false" outlineLevel="0" collapsed="false">
      <c r="A84" s="518" t="str">
        <f aca="false">A3</f>
        <v>VAR</v>
      </c>
      <c r="B84" s="453" t="str">
        <f aca="false">C3</f>
        <v>VAR A NICE</v>
      </c>
      <c r="C84" s="525" t="str">
        <f aca="false">A4</f>
        <v>(Date)</v>
      </c>
      <c r="D84" s="526" t="n">
        <f aca="false">IF(OR(ISERROR(SUM($U$23:$U$82)/SUM($V$23:$V$82)),F7&lt;&gt;100),-1,SUM($U$23:$U$82)/SUM($V$23:$V$82))</f>
        <v>11.0555555555556</v>
      </c>
      <c r="E84" s="527" t="n">
        <f aca="false">O13</f>
        <v>14</v>
      </c>
      <c r="F84" s="453" t="n">
        <f aca="false">O14</f>
        <v>9</v>
      </c>
      <c r="G84" s="453" t="n">
        <f aca="false">O15</f>
        <v>6</v>
      </c>
      <c r="H84" s="453" t="n">
        <f aca="false">O16</f>
        <v>2</v>
      </c>
      <c r="I84" s="453" t="n">
        <f aca="false">O17</f>
        <v>1</v>
      </c>
      <c r="J84" s="528" t="n">
        <f aca="false">O8</f>
        <v>11.2222222222222</v>
      </c>
      <c r="K84" s="529" t="n">
        <f aca="false">O9</f>
        <v>3.4569664858009</v>
      </c>
      <c r="L84" s="530" t="n">
        <f aca="false">O10</f>
        <v>6</v>
      </c>
      <c r="M84" s="530" t="n">
        <f aca="false">O11</f>
        <v>19</v>
      </c>
      <c r="N84" s="529" t="n">
        <f aca="false">P8</f>
        <v>1.44444444444444</v>
      </c>
      <c r="O84" s="529" t="n">
        <f aca="false">P9</f>
        <v>0.684934889218775</v>
      </c>
      <c r="P84" s="530" t="n">
        <f aca="false">P10</f>
        <v>1</v>
      </c>
      <c r="Q84" s="530" t="n">
        <f aca="false">P11</f>
        <v>3</v>
      </c>
      <c r="R84" s="530" t="n">
        <f aca="false">F21</f>
        <v>18.69</v>
      </c>
      <c r="S84" s="530" t="n">
        <f aca="false">L11</f>
        <v>0</v>
      </c>
      <c r="T84" s="530" t="n">
        <f aca="false">L12</f>
        <v>5</v>
      </c>
      <c r="U84" s="530" t="n">
        <f aca="false">L13</f>
        <v>3</v>
      </c>
      <c r="V84" s="531" t="n">
        <f aca="false">L15</f>
        <v>5</v>
      </c>
      <c r="W84" s="532" t="n">
        <f aca="false">L15</f>
        <v>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24</v>
      </c>
      <c r="U87" s="281"/>
      <c r="V87" s="281"/>
    </row>
    <row r="88" customFormat="false" ht="12.75" hidden="true" customHeight="false" outlineLevel="0" collapsed="false">
      <c r="C88" s="534"/>
      <c r="D88" s="534"/>
      <c r="E88" s="534"/>
      <c r="R88" s="281" t="s">
        <v>3452</v>
      </c>
      <c r="S88" s="281"/>
      <c r="T88" s="536" t="n">
        <f aca="false">VLOOKUP($T$91,($A$23:$U$82),21,0)</f>
        <v>24</v>
      </c>
      <c r="U88" s="281"/>
      <c r="V88" s="281" t="n">
        <f aca="false">COUNTIF(V23:V82,T89)</f>
        <v>1</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12.5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3380</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jlam</cp:lastModifiedBy>
  <cp:lastPrinted>2015-05-20T11:23:22Z</cp:lastPrinted>
  <dcterms:modified xsi:type="dcterms:W3CDTF">2018-03-16T16:40:18Z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