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3400 CASALUNA" sheetId="6" state="visible" r:id="rId8"/>
    <sheet name="modele" sheetId="7" state="hidden" r:id="rId9"/>
    <sheet name="liste codes réf" sheetId="8" state="hidden" r:id="rId10"/>
  </sheets>
  <definedNames>
    <definedName function="false" hidden="false" localSheetId="5" name="_xlnm.Print_Area" vbProcedure="false">'06213400 CASALUNA'!$A$1:$O$82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'06213400 CASALUNA'!$A$23:$J$84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<sst xmlns="http://schemas.openxmlformats.org/spreadsheetml/2006/main" count="7359" uniqueCount="2731">
  <si>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</si>
  <si>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</si>
  <si>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</si>
  <si>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</si>
  <si>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</si>
  <si>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</si>
  <si>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</si>
  <si>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</si>
  <si>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</si>
  <si>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</si>
  <si>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</si>
  <si>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</si>
  <si>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</si>
  <si>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</si>
  <si>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</si>
  <si>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</si>
  <si>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</si>
  <si>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</si>
  <si>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</si>
  <si>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</si>
  <si>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</si>
  <si>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</si>
  <si>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</si>
  <si>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</si>
  <si>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</si>
  <si>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</si>
  <si>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</si>
  <si>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</si>
  <si>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</si>
  <si>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</si>
  <si>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</si>
  <si>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</si>
  <si>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</si>
  <si>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</si>
  <si>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</si>
  <si>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</si>
  <si>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</si>
  <si>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</si>
  <si>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</si>
  <si>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</si>
  <si>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</si>
  <si>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</si>
  <si>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</si>
  <si>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</si>
  <si>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</si>
  <si>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</si>
  <si>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</si>
  <si>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</si>
  <si>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</si>
  <si>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</si>
  <si>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</si>
  <si>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</si>
  <si>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</si>
  <si>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</si>
  <si>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</si>
  <si>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</si>
  <si>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</si>
  <si>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</si>
  <si>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</si>
  <si>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</si>
  <si>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</si>
  <si>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</si>
  <si>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</si>
  <si>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</si>
  <si>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</si>
  <si>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</si>
  <si>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</si>
  <si>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</si>
  <si>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</si>
  <si>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</si>
  <si>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</si>
  <si>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</si>
  <si>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</si>
  <si>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</si>
  <si>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</si>
  <si>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</si>
  <si>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</si>
  <si>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</si>
  <si>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</si>
  <si>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</si>
  <si>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</si>
  <si>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</si>
  <si>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</si>
  <si>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</si>
  <si>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</si>
  <si>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</si>
  <si>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</si>
  <si>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</si>
  <si>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</si>
  <si>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</si>
  <si>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</si>
  <si>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</si>
  <si>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</si>
  <si>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</si>
  <si>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</si>
  <si>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</si>
  <si>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</si>
  <si>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</si>
  <si>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</si>
  <si>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</si>
  <si>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</si>
  <si>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</si>
  <si>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</si>
  <si>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</si>
  <si>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</si>
  <si>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</si>
  <si>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</si>
  <si>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</si>
  <si>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</si>
  <si>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</si>
  <si>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</si>
  <si>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</si>
  <si>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</si>
  <si>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</si>
  <si>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</si>
  <si>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</si>
  <si>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</si>
  <si>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</si>
  <si>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</si>
  <si>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</si>
  <si>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</si>
  <si>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</si>
  <si>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</si>
  <si>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</si>
  <si>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</si>
  <si>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</si>
  <si>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</si>
  <si>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</si>
  <si>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</si>
  <si>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</si>
  <si>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</si>
  <si>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</si>
  <si>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</si>
  <si>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</si>
  <si>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</si>
  <si>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</si>
  <si>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</si>
  <si>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</si>
  <si>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</si>
  <si>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</si>
  <si>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</si>
  <si>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</si>
  <si>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</si>
  <si>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</si>
  <si>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</si>
  <si>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</si>
  <si>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</si>
  <si>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</si>
  <si>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</si>
  <si>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</si>
  <si>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</si>
  <si>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</si>
  <si>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</si>
  <si>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</si>
  <si>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</si>
  <si>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</si>
  <si>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</si>
  <si>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</si>
  <si>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</si>
  <si>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</si>
  <si>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</si>
  <si>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</si>
  <si>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</si>
  <si>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</si>
  <si>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</si>
  <si>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</si>
  <si>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</si>
  <si>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</si>
  <si>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</si>
  <si>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</si>
  <si>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</si>
  <si>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</si>
  <si>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</si>
  <si>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</si>
  <si>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</si>
  <si>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</si>
  <si>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</si>
  <si>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</si>
  <si>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</si>
  <si>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</si>
  <si>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</si>
  <si>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</si>
  <si>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</si>
  <si>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</si>
  <si>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</si>
  <si>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</si>
  <si>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</si>
  <si>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</si>
  <si>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</si>
  <si>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</si>
  <si>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</si>
  <si>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</si>
  <si>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</si>
  <si>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</si>
  <si>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</si>
  <si>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</si>
  <si>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</si>
  <si>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</si>
  <si>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</si>
  <si>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</si>
  <si>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</si>
  <si>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</si>
  <si>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</si>
  <si>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</si>
  <si>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</si>
  <si>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</si>
  <si>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</si>
  <si>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</si>
  <si>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</si>
  <si>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</si>
  <si>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</si>
  <si>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</si>
  <si>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</si>
  <si>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</si>
  <si>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</si>
  <si>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</si>
  <si>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</si>
  <si>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</si>
  <si>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</si>
  <si>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</si>
  <si>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</si>
  <si>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</si>
  <si>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</si>
  <si>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</si>
  <si>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</si>
  <si>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</si>
  <si>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</si>
  <si>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</si>
  <si>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</si>
  <si>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</si>
  <si>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</si>
  <si>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</si>
  <si>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</si>
  <si>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</si>
  <si>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</si>
  <si>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</si>
  <si>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</si>
  <si>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</si>
  <si>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</si>
  <si>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</si>
  <si>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</si>
  <si>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</si>
  <si>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</si>
  <si>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</si>
  <si>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</si>
  <si>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</si>
  <si>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</si>
  <si>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</si>
  <si>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</si>
  <si>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</si>
  <si>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</si>
  <si>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</si>
  <si>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</si>
  <si>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</si>
  <si>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</si>
  <si>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</si>
  <si>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</si>
  <si>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</si>
  <si>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</si>
  <si>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</si>
  <si>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</si>
  <si>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</si>
  <si>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</si>
  <si>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</si>
  <si>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</si>
  <si>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</si>
  <si>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</si>
  <si>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</si>
  <si>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</si>
  <si>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</si>
  <si>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</si>
  <si>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</si>
  <si>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</si>
  <si>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</si>
  <si>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</si>
  <si>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</si>
  <si>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</si>
  <si>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</si>
  <si>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</si>
  <si>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</si>
  <si>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</si>
  <si>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</si>
  <si>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</si>
  <si>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</si>
  <si>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</si>
  <si>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</si>
  <si>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</si>
  <si>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</si>
  <si>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</si>
  <si>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</si>
  <si>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</si>
  <si>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</si>
  <si>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</si>
  <si>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</si>
  <si>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</si>
  <si>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</si>
  <si>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</si>
  <si>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</si>
  <si>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</si>
  <si>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</si>
  <si>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</si>
  <si>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</si>
  <si>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</si>
  <si>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</si>
  <si>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</si>
  <si>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</si>
  <si>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</si>
  <si>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</si>
  <si>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</si>
  <si>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</si>
  <si>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</si>
  <si>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</si>
  <si>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</si>
  <si>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</si>
  <si>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</si>
  <si>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</si>
  <si>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</si>
  <si>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</si>
  <si>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</si>
  <si>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</si>
  <si>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</si>
  <si>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</si>
  <si>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</si>
  <si>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</si>
  <si>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</si>
  <si>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</si>
  <si>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</si>
  <si>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</si>
  <si>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</si>
  <si>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</si>
  <si>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</si>
  <si>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</si>
  <si>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</si>
  <si>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</si>
  <si>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</si>
  <si>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</si>
  <si>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</si>
  <si>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</si>
  <si>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</si>
  <si>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</si>
  <si>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</si>
  <si>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</si>
  <si>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</si>
  <si>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</si>
  <si>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</si>
  <si>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</si>
  <si>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</si>
  <si>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</si>
  <si>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</si>
  <si>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</si>
  <si>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</si>
  <si>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</si>
  <si>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</si>
  <si>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</si>
  <si>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</si>
  <si>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</si>
  <si>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</si>
  <si>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</si>
  <si>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</si>
  <si>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</si>
  <si>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</si>
  <si>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</si>
  <si>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</si>
  <si>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</si>
  <si>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</si>
  <si>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</si>
  <si>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</si>
  <si>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</si>
  <si>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</si>
  <si>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</si>
  <si>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</si>
  <si>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</si>
  <si>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</si>
  <si>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</si>
  <si>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</si>
  <si>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</si>
  <si>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</si>
  <si>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</si>
  <si>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</si>
  <si>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</si>
  <si>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</si>
  <si>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</si>
  <si>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</si>
  <si>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</si>
  <si>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</si>
  <si>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</si>
  <si>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</si>
  <si>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</si>
  <si>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</si>
  <si>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</si>
  <si>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</si>
  <si>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</si>
  <si>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</si>
  <si>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</si>
  <si>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</si>
  <si>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</si>
  <si>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</si>
  <si>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</si>
  <si>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</si>
  <si>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</si>
  <si>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</si>
  <si>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</si>
  <si>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</si>
  <si>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</si>
  <si>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</si>
  <si>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</si>
  <si>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</si>
  <si>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</si>
  <si>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</si>
  <si>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</si>
  <si>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</si>
  <si>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</si>
  <si>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</si>
  <si>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</si>
  <si>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</si>
  <si>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</si>
  <si>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</si>
  <si>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</si>
  <si>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</si>
  <si>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</si>
  <si>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</si>
  <si>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</si>
  <si>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</si>
  <si>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</si>
  <si>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</si>
  <si>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</si>
  <si>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</si>
  <si>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</si>
  <si>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</si>
  <si>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</si>
  <si>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</si>
  <si>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</si>
  <si>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</si>
  <si>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</si>
  <si>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</si>
  <si>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</si>
  <si>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</si>
  <si>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</si>
  <si>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</si>
  <si>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</si>
  <si>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</si>
  <si>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</si>
  <si>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</si>
  <si>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</si>
  <si>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</si>
  <si>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</si>
  <si>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</si>
  <si>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</si>
  <si>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</si>
  <si>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</si>
  <si>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</si>
  <si>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</si>
  <si>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</si>
  <si>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</si>
  <si>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</si>
  <si>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</si>
  <si>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</si>
  <si>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</si>
  <si>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</si>
  <si>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</si>
  <si>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</si>
  <si>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</si>
  <si>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</si>
  <si>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</si>
  <si>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</si>
  <si>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</si>
  <si>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</si>
  <si>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</si>
  <si>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</si>
  <si>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</si>
  <si>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</si>
  <si>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</si>
  <si>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</si>
  <si>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</si>
  <si>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</si>
  <si>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</si>
  <si>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</si>
  <si>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</si>
  <si>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</si>
  <si>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</si>
  <si>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</si>
  <si>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</si>
  <si>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</si>
  <si>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</si>
  <si>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</si>
  <si>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</si>
  <si>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</si>
  <si>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</si>
  <si>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</si>
  <si>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</si>
  <si>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</si>
  <si>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</si>
  <si>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</si>
  <si>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</si>
  <si>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</si>
  <si>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</si>
  <si>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</si>
  <si>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</si>
  <si>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</si>
  <si>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</si>
  <si>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</si>
  <si>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</si>
  <si>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</si>
  <si>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</si>
  <si>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</si>
  <si>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</si>
  <si>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</si>
  <si>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</si>
  <si>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</si>
  <si>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</si>
  <si>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</si>
  <si>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</si>
  <si>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</si>
  <si>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</si>
  <si>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</si>
  <si>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</si>
  <si>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</si>
  <si>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</si>
  <si>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</si>
  <si>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</si>
  <si>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</si>
  <si>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</si>
  <si>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</si>
  <si>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</si>
  <si>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</si>
  <si>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</si>
  <si>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</si>
  <si>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</si>
  <si>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</si>
  <si>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</si>
  <si>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</si>
  <si>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</si>
  <si>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</si>
  <si>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</si>
  <si>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</si>
  <si>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</si>
  <si>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</si>
  <si>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</si>
  <si>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</si>
  <si>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</si>
  <si>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</si>
  <si>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</si>
  <si>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</si>
  <si>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</si>
  <si>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</si>
  <si>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</si>
  <si>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</si>
  <si>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</si>
  <si>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</si>
  <si>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</si>
  <si>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</si>
  <si>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</si>
  <si>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</si>
  <si>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</si>
  <si>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</si>
  <si>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</si>
  <si>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</si>
  <si>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</si>
  <si>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</si>
  <si>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</si>
  <si>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</si>
  <si>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</si>
  <si>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</si>
  <si>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</si>
  <si>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</si>
  <si>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</si>
  <si>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</si>
  <si>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</si>
  <si>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</si>
  <si>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</si>
  <si>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</si>
  <si>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</si>
  <si>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</si>
  <si>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</si>
  <si>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</si>
  <si>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</si>
  <si>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</si>
  <si>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</si>
  <si>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</si>
  <si>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</si>
  <si>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</si>
  <si>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</si>
  <si>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</si>
  <si>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</si>
  <si>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</si>
  <si>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</si>
  <si>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</si>
  <si>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</si>
  <si>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</si>
  <si>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</si>
  <si>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</si>
  <si>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</si>
  <si>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</si>
  <si>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</si>
  <si>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</si>
  <si>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</si>
  <si>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</si>
  <si>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</si>
  <si>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</si>
  <si>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</si>
  <si>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</si>
  <si>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</si>
  <si>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</si>
  <si>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</si>
  <si>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</si>
  <si>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</si>
  <si>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</si>
  <si>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</si>
  <si>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</si>
  <si>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</si>
  <si>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</si>
  <si>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</si>
  <si>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</si>
  <si>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</si>
  <si>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</si>
  <si>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</si>
  <si>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</si>
  <si>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</si>
  <si>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</si>
  <si>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</si>
  <si>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</si>
  <si>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</si>
  <si>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</si>
  <si>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</si>
  <si>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</si>
  <si>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</si>
  <si>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</si>
  <si>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</si>
  <si>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</si>
  <si>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</si>
  <si>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</si>
  <si>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</si>
  <si>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</si>
  <si>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</si>
  <si>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</si>
  <si>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</si>
  <si>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</si>
  <si>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</si>
  <si>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</si>
  <si>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</si>
  <si>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</si>
  <si>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</si>
  <si>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</si>
  <si>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</si>
  <si>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</si>
  <si>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</si>
  <si>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</si>
  <si>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</si>
  <si>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</si>
  <si>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</si>
  <si>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</si>
  <si>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</si>
  <si>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</si>
  <si>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</si>
  <si>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</si>
  <si>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</si>
  <si>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</si>
  <si>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</si>
  <si>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</si>
  <si>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</si>
  <si>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</si>
  <si>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</si>
  <si>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</si>
  <si>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</si>
  <si>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</si>
  <si>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</si>
  <si>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</si>
  <si>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</si>
  <si>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</si>
  <si>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</si>
  <si>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</si>
  <si>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</si>
  <si>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</si>
  <si>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</si>
  <si>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</si>
  <si>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</si>
  <si>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</si>
  <si>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</si>
  <si>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</si>
  <si>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</si>
  <si>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</si>
  <si>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</si>
  <si>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</si>
  <si>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</si>
  <si>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</si>
  <si>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</si>
  <si>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</si>
  <si>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</si>
  <si>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</si>
  <si>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</si>
  <si>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</si>
  <si>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</si>
  <si>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</si>
  <si>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</si>
  <si>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</si>
  <si>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</si>
  <si>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</si>
  <si>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</si>
  <si>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</si>
  <si>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</si>
  <si>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</si>
  <si>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</si>
  <si>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</si>
  <si>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</si>
  <si>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</si>
  <si>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</si>
  <si>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</si>
  <si>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</si>
  <si>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</si>
  <si>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</si>
  <si>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</si>
  <si>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</si>
  <si>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</si>
  <si>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</si>
  <si>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</si>
  <si>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</si>
  <si>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</si>
  <si>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</si>
  <si>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</si>
  <si>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</si>
  <si>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</si>
  <si>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</si>
  <si>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</si>
  <si>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</si>
  <si>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</si>
  <si>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</si>
  <si>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</si>
  <si>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</si>
  <si>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</si>
  <si>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</si>
  <si>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</si>
  <si>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</si>
  <si>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</si>
  <si>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</si>
  <si>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</si>
  <si>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</si>
  <si>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</si>
  <si>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</si>
  <si>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</si>
  <si>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</si>
  <si>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</si>
  <si>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</si>
  <si>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</si>
  <si>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</si>
  <si>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</si>
  <si>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</si>
  <si>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</si>
  <si>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</si>
  <si>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</si>
  <si>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</si>
  <si>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</si>
  <si>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</si>
  <si>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</si>
  <si>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</si>
  <si>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</si>
  <si>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</si>
  <si>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</si>
  <si>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</si>
  <si>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</si>
  <si>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</si>
  <si>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</si>
  <si>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</si>
  <si>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</si>
  <si>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</si>
  <si>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</si>
  <si>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</si>
  <si>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</si>
  <si>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</si>
  <si>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</si>
  <si>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</si>
  <si>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</si>
  <si>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</si>
  <si>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</si>
  <si>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</si>
  <si>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</si>
  <si>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</si>
  <si>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</si>
  <si>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</si>
  <si>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</si>
  <si>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</si>
  <si>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</si>
  <si>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</si>
  <si>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</si>
  <si>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</si>
  <si>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</si>
  <si>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</si>
  <si>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</si>
  <si>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</si>
  <si>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</si>
  <si>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</si>
  <si>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</si>
  <si>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</si>
  <si>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</si>
  <si>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</si>
  <si>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</si>
  <si>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</si>
  <si>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</si>
  <si>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</si>
  <si>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</si>
  <si>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</si>
  <si>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</si>
  <si>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</si>
  <si>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</si>
  <si>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</si>
  <si>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</si>
  <si>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</si>
  <si>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</si>
  <si>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</si>
  <si>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</si>
  <si>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</si>
  <si>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</si>
  <si>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</si>
  <si>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</si>
  <si>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</si>
  <si>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</si>
  <si>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</si>
  <si>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</si>
  <si>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</si>
  <si>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</si>
  <si>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</si>
  <si>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</si>
  <si>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</si>
  <si>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</si>
  <si>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</si>
  <si>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</si>
  <si>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</si>
  <si>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</si>
  <si>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</si>
  <si>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</si>
  <si>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</si>
  <si>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</si>
  <si>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</si>
  <si>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</si>
  <si>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</si>
  <si>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</si>
  <si>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</si>
  <si>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</si>
  <si>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</si>
  <si>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</si>
  <si>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</si>
  <si>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</si>
  <si>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</si>
  <si>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</si>
  <si>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</si>
  <si>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</si>
  <si>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</si>
  <si>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</si>
  <si>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</si>
  <si>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</si>
  <si>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</si>
  <si>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</si>
  <si>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</si>
  <si>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</si>
  <si>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</si>
  <si>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</si>
  <si>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</si>
  <si>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</si>
  <si>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</si>
  <si>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</si>
  <si>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</si>
  <si>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</si>
  <si>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</si>
  <si>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</si>
  <si>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</si>
  <si>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</si>
  <si>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</si>
  <si>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</si>
  <si>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</si>
  <si>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</si>
  <si>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</si>
  <si>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</si>
  <si>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</si>
  <si>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</si>
  <si>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</si>
  <si>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</si>
  <si>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</si>
  <si>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</si>
  <si>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</si>
  <si>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</si>
  <si>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</si>
  <si>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</si>
  <si>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</si>
  <si>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</si>
  <si>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</si>
  <si>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</si>
  <si>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</si>
  <si>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</si>
  <si>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</si>
  <si>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</si>
  <si>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</si>
  <si>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</si>
  <si>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</si>
  <si>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</si>
  <si>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</si>
  <si>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</si>
  <si>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</si>
  <si>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</si>
  <si>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</si>
  <si>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</si>
  <si>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</si>
  <si>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</si>
  <si>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</si>
  <si>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</si>
  <si>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</si>
  <si>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</si>
  <si>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</si>
  <si>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</si>
  <si>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</si>
  <si>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</si>
  <si>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</si>
  <si>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</si>
  <si>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</si>
  <si>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</si>
  <si>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</si>
  <si>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</si>
  <si>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</si>
  <si>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</si>
  <si>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</si>
  <si>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</si>
  <si>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</si>
  <si>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</si>
  <si>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</si>
  <si>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</si>
  <si>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</si>
  <si>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</si>
  <si>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</si>
  <si>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</si>
  <si>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</si>
  <si>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</si>
  <si>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</si>
  <si>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</si>
  <si>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</si>
  <si>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</si>
  <si>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</si>
  <si>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</si>
  <si>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</si>
  <si>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</si>
  <si>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</si>
  <si>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</si>
  <si>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</si>
  <si>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</si>
  <si>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</si>
  <si>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</si>
  <si>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</si>
  <si>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</si>
  <si>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</si>
  <si>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</si>
  <si>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</si>
  <si>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</si>
  <si>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</si>
  <si>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</si>
  <si>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</si>
  <si>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</si>
  <si>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</si>
  <si>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</si>
  <si>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</si>
  <si>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</si>
  <si>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</si>
  <si>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</si>
  <si>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</si>
  <si>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</si>
  <si>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</si>
  <si>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</si>
  <si>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</si>
  <si>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</si>
  <si>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</si>
  <si>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</si>
  <si>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</si>
  <si>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</si>
  <si>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</si>
  <si>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</si>
  <si>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</si>
  <si>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</si>
  <si>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</si>
  <si>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</si>
  <si>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</si>
  <si>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</si>
  <si>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</si>
  <si>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</si>
  <si>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</si>
  <si>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</si>
  <si>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</si>
  <si>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</si>
  <si>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</si>
  <si>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</si>
  <si>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</si>
  <si>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</si>
  <si>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</si>
  <si>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</si>
  <si>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</si>
  <si>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</si>
  <si>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</si>
  <si>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</si>
  <si>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</si>
  <si>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</si>
  <si>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</si>
  <si>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</si>
  <si>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</si>
  <si>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</si>
  <si>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</si>
  <si>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</si>
  <si>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</si>
  <si>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</si>
  <si>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</si>
  <si>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</si>
  <si>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</si>
  <si>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</si>
  <si>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</si>
  <si>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</si>
  <si>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</si>
  <si>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</si>
  <si>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</si>
  <si>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</si>
  <si>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</si>
  <si>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</si>
  <si>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</si>
  <si>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</si>
  <si>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</si>
  <si>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</si>
  <si>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</si>
  <si>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</si>
  <si>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</si>
  <si>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</si>
  <si>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</si>
  <si>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</si>
  <si>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</si>
  <si>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</si>
  <si>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</si>
  <si>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</si>
  <si>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</si>
  <si>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</si>
  <si>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</si>
  <si>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</si>
  <si>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</si>
  <si>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</si>
  <si>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</si>
  <si>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</si>
  <si>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</si>
  <si>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</si>
  <si>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</si>
  <si>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</si>
  <si>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</si>
  <si>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</si>
  <si>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</si>
  <si>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</si>
  <si>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</si>
  <si>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</si>
  <si>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</si>
  <si>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</si>
  <si>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</si>
  <si>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</si>
  <si>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</si>
  <si>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</si>
  <si>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</si>
  <si>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</si>
  <si>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</si>
  <si>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</si>
  <si>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</si>
  <si>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</si>
  <si>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</si>
  <si>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</si>
  <si>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</si>
  <si>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</si>
  <si>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</si>
  <si>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</si>
  <si>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</si>
  <si>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</si>
  <si>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</si>
  <si>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</si>
  <si>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</si>
  <si>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</si>
  <si>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</si>
  <si>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</si>
  <si>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</si>
  <si>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</si>
  <si>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</si>
  <si>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</si>
  <si>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</si>
  <si>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</si>
  <si>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</si>
  <si>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</si>
  <si>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</si>
  <si>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</si>
  <si>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</si>
  <si>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</si>
  <si>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</si>
  <si>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</si>
  <si>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</si>
  <si>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</si>
  <si>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</si>
  <si>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</si>
  <si>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</si>
  <si>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</si>
  <si>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</si>
  <si>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</si>
  <si>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</si>
  <si>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</si>
  <si>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</si>
  <si>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</si>
  <si>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</si>
  <si>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</si>
  <si>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</si>
  <si>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</si>
  <si>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</si>
  <si>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</si>
  <si>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</si>
  <si>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</si>
  <si>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</si>
  <si>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</si>
  <si>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</si>
  <si>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</si>
  <si>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</si>
  <si>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</si>
  <si>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</si>
  <si>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</si>
  <si>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</si>
  <si>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</si>
  <si>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</si>
  <si>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</si>
  <si>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</si>
  <si>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</si>
  <si>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</si>
  <si>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</si>
  <si>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</si>
  <si>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</si>
  <si>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</si>
  <si>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</si>
  <si>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</si>
  <si>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</si>
  <si>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</si>
  <si>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</si>
  <si>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</si>
  <si>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</si>
  <si>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</si>
  <si>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</si>
  <si>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</si>
  <si>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</si>
  <si>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</si>
  <si>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</si>
  <si>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</si>
  <si>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</si>
  <si>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</si>
  <si>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</si>
  <si>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</si>
  <si>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</si>
  <si>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</si>
  <si>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</si>
  <si>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</si>
  <si>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</si>
  <si>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</si>
  <si>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</si>
  <si>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</si>
  <si>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</si>
  <si>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</si>
  <si>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</si>
  <si>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</si>
  <si>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</si>
  <si>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</si>
  <si>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</si>
  <si>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</si>
  <si>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</si>
  <si>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</si>
  <si>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</si>
  <si>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</si>
  <si>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</si>
  <si>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</si>
  <si>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</si>
  <si>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</si>
  <si>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</si>
  <si>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</si>
  <si>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</si>
  <si>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</si>
  <si>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</si>
  <si>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</si>
  <si>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</si>
  <si>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</si>
  <si>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</si>
  <si>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</si>
  <si>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</si>
  <si>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</si>
  <si>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</si>
  <si>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</si>
  <si>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</si>
  <si>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</si>
  <si>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</si>
  <si>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</si>
  <si>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</si>
  <si>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</si>
  <si>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</si>
  <si>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</si>
  <si>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</si>
  <si>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</si>
  <si>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</si>
  <si>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</si>
  <si>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</si>
  <si>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</si>
  <si>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</si>
  <si>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</si>
  <si>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</si>
  <si>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</si>
  <si>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</si>
  <si>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</si>
  <si>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</si>
  <si>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</si>
  <si>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</si>
  <si>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</si>
  <si>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</si>
  <si>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</si>
  <si>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</si>
  <si>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</si>
  <si>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</si>
  <si>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</si>
  <si>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</si>
  <si>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</si>
  <si>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</si>
  <si>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</si>
  <si>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</si>
  <si>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</si>
  <si>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</si>
  <si>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</si>
  <si>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</si>
  <si>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</si>
  <si>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</si>
  <si>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</si>
  <si>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</si>
  <si>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</si>
  <si>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</si>
  <si>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</si>
  <si>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</si>
  <si>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</si>
  <si>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</si>
  <si>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</si>
  <si>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</si>
  <si>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</si>
  <si>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</si>
  <si>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</si>
  <si>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</si>
  <si>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</si>
  <si>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</si>
  <si>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</si>
  <si>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</si>
  <si>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</si>
  <si>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</si>
  <si>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</si>
  <si>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</si>
  <si>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</si>
  <si>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</si>
  <si>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</si>
  <si>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</si>
  <si>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</si>
  <si>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</si>
  <si>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</si>
  <si>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</si>
  <si>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</si>
  <si>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</si>
  <si>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</si>
  <si>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</si>
  <si>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</si>
  <si>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</si>
  <si>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</si>
  <si>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</si>
  <si>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</si>
  <si>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</si>
  <si>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</si>
  <si>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</si>
  <si>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</si>
  <si>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</si>
  <si>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</si>
  <si>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</si>
  <si>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</si>
  <si>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</si>
  <si>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</si>
  <si>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</si>
  <si>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</si>
  <si>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</si>
  <si>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</si>
  <si>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</si>
  <si>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</si>
  <si>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</si>
  <si>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</si>
  <si>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</si>
  <si>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</si>
  <si>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</si>
  <si>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</si>
  <si>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</si>
  <si>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</si>
  <si>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</si>
  <si>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</si>
  <si>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</si>
  <si>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</si>
  <si>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</si>
  <si>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</si>
  <si>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</si>
  <si>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</si>
  <si>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</si>
  <si>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</si>
  <si>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</si>
  <si>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</si>
  <si>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</si>
  <si>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</si>
  <si>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</si>
  <si>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</si>
  <si>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</si>
  <si>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</si>
  <si>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</si>
  <si>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</si>
  <si>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</si>
  <si>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</si>
  <si>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</si>
  <si>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</si>
  <si>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</si>
  <si>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</si>
  <si>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</si>
  <si>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</si>
  <si>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</si>
  <si>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</si>
  <si>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</si>
  <si>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</si>
  <si>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</si>
  <si>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</si>
  <si>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</si>
  <si>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</si>
  <si>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</si>
  <si>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</si>
  <si>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</si>
  <si>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</si>
  <si>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</si>
  <si>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</si>
  <si>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</si>
  <si>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</si>
  <si>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</si>
  <si>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</si>
  <si>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</si>
  <si>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</si>
  <si>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</si>
  <si>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</si>
  <si>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</si>
  <si>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</si>
  <si>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</si>
  <si>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</si>
  <si>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</si>
  <si>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</si>
  <si>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</si>
  <si>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</si>
  <si>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</si>
  <si>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</si>
  <si>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</si>
  <si>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</si>
  <si>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</si>
  <si>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</si>
  <si>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</si>
  <si>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</si>
  <si>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</si>
  <si>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</si>
  <si>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</si>
  <si>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</si>
  <si>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</si>
  <si>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</si>
  <si>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</si>
  <si>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</si>
  <si>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</si>
  <si>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</si>
  <si>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</si>
  <si>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</si>
  <si>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</si>
  <si>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</si>
  <si>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</si>
  <si>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</si>
  <si>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</si>
  <si>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</si>
  <si>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</si>
  <si>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</si>
  <si>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</si>
  <si>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</si>
  <si>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</si>
  <si>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</si>
  <si>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</si>
  <si>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</si>
  <si>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</si>
  <si>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</si>
  <si>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</si>
  <si>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</si>
  <si>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</si>
  <si>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</si>
  <si>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</si>
  <si>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</si>
  <si>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</si>
  <si>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</si>
  <si>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</si>
  <si>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</si>
  <si>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</si>
  <si>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</si>
  <si>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</si>
  <si>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</si>
  <si>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</si>
  <si>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</si>
  <si>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</si>
  <si>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</si>
  <si>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</si>
  <si>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</si>
  <si>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</si>
  <si>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</si>
  <si>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</si>
  <si>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</si>
  <si>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</si>
  <si>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</si>
  <si>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</si>
  <si>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</si>
  <si>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</si>
  <si>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</si>
  <si>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</si>
  <si>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</si>
  <si>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</si>
  <si>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</si>
  <si>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</si>
  <si>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</si>
  <si>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</si>
  <si>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</si>
  <si>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</si>
  <si>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</si>
  <si>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</si>
  <si>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</si>
  <si>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</si>
  <si>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</si>
  <si>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</si>
  <si>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</si>
  <si>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</si>
  <si>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</si>
  <si>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</si>
  <si>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</si>
  <si>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</si>
  <si>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</si>
  <si>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</si>
  <si>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</si>
  <si>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</si>
  <si>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</si>
  <si>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</si>
  <si>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</si>
  <si>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</si>
  <si>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</si>
  <si>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</si>
  <si>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</si>
  <si>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</si>
  <si>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</si>
  <si>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</si>
  <si>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</si>
  <si>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</si>
  <si>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</si>
  <si>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</si>
  <si>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</si>
  <si>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</si>
  <si>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</si>
  <si>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</si>
  <si>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</si>
  <si>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</si>
  <si>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</si>
  <si>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</si>
  <si>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</si>
  <si>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</si>
  <si>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</si>
  <si>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</si>
  <si>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</si>
  <si>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</si>
  <si>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</si>
  <si>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</si>
  <si>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</si>
  <si>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</si>
  <si>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</si>
  <si>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</si>
  <si>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</si>
  <si>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</si>
  <si>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</si>
  <si>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</si>
  <si>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</si>
  <si>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</si>
  <si>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</si>
  <si>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</si>
  <si>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</si>
  <si>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</si>
  <si>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</si>
  <si>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</si>
  <si>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</si>
  <si>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</si>
  <si>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</si>
  <si>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</si>
  <si>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</si>
  <si>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</si>
  <si>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</si>
  <si>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</si>
  <si>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</si>
  <si>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</si>
  <si>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</si>
  <si>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</si>
  <si>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</si>
  <si>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</si>
  <si>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</si>
  <si>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</si>
  <si>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</si>
  <si>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</si>
  <si>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</si>
  <si>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</si>
  <si>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</si>
  <si>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</si>
  <si>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</si>
  <si>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</si>
  <si>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</si>
  <si>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</si>
  <si>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</si>
  <si>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</si>
  <si>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</si>
  <si>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</si>
  <si>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</si>
  <si>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</si>
  <si>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</si>
  <si>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</si>
  <si>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</si>
  <si>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</si>
  <si>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</si>
  <si>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</si>
  <si>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</si>
  <si>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</si>
  <si>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</si>
  <si>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</si>
  <si>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</si>
  <si>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</si>
  <si>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</si>
  <si>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</si>
  <si>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</si>
  <si>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</si>
  <si>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</si>
  <si>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</si>
  <si>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</si>
  <si>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</si>
  <si>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</si>
  <si>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</si>
  <si>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</si>
  <si>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</si>
  <si>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</si>
  <si>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</si>
  <si>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</si>
  <si>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</si>
  <si>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</si>
  <si>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</si>
  <si>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</si>
  <si>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</si>
  <si>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</si>
  <si>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</si>
  <si>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</si>
  <si>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</si>
  <si>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</si>
  <si>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</si>
  <si>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</si>
  <si>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</si>
  <si>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</si>
  <si>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</si>
  <si>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</si>
  <si>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</si>
  <si>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</si>
  <si>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</si>
  <si>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</si>
  <si>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</si>
  <si>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</si>
  <si>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</si>
  <si>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</si>
  <si>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</si>
  <si>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</si>
  <si>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</si>
  <si>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</si>
  <si>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</si>
  <si>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</si>
  <si>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</si>
  <si>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</si>
  <si>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</si>
  <si>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</si>
  <si>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</si>
  <si>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</si>
  <si>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</si>
  <si>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</si>
  <si>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</si>
  <si>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</si>
  <si>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</si>
  <si>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</si>
  <si>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</si>
  <si>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</si>
  <si>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</si>
  <si>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</si>
  <si>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</si>
  <si>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</si>
  <si>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</si>
  <si>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</si>
  <si>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</si>
  <si>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</si>
  <si>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</si>
  <si>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</si>
  <si>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</si>
  <si>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</si>
  <si>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</si>
  <si>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</si>
  <si>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</si>
  <si>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</si>
  <si>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</si>
  <si>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</si>
  <si>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</si>
  <si>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</si>
  <si>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</si>
  <si>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</si>
  <si>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</si>
  <si>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</si>
  <si>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</si>
  <si>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</si>
  <si>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</si>
  <si>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</si>
  <si>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</si>
  <si>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</si>
  <si>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</si>
  <si>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</si>
  <si>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</si>
  <si>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</si>
  <si>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</si>
  <si>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</si>
  <si>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</si>
  <si>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</si>
  <si>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</si>
  <si>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</si>
  <si>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</si>
  <si>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</si>
  <si>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</si>
  <si>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</si>
  <si>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</si>
  <si>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</si>
  <si>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</si>
  <si>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</si>
  <si>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</si>
  <si>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</si>
  <si>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</si>
  <si>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</si>
  <si>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</si>
  <si>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</si>
  <si>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</si>
  <si>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</si>
  <si>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</si>
  <si>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</si>
  <si>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</si>
  <si>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</si>
  <si>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</si>
  <si>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</si>
  <si>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</si>
  <si>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</si>
  <si>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</si>
  <si>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</si>
  <si>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</si>
  <si>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</si>
  <si>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</si>
  <si>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</si>
  <si>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</si>
  <si>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</si>
  <si>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</si>
  <si>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</si>
  <si>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</si>
  <si>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</si>
  <si>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</si>
  <si>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</si>
  <si>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</si>
  <si>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</si>
  <si>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</si>
  <si>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</si>
  <si>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</si>
  <si>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</si>
  <si>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</si>
  <si>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</si>
  <si>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</si>
  <si>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</si>
  <si>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</si>
  <si>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</si>
  <si>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</si>
  <si>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</si>
  <si>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</si>
  <si>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</si>
  <si>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</si>
  <si>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</si>
  <si>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</si>
  <si>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</si>
  <si>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</si>
  <si>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</si>
  <si>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</si>
  <si>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</si>
  <si>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</si>
  <si>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</si>
  <si>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</si>
  <si>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</si>
  <si>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</si>
  <si>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</si>
  <si>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</si>
  <si>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</si>
  <si>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</si>
  <si>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</si>
  <si>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</si>
  <si>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</si>
  <si>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</si>
  <si>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</si>
  <si>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</si>
  <si>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</si>
  <si>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</si>
  <si>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</si>
  <si>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</si>
  <si>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</si>
  <si>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</si>
  <si>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</si>
  <si>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</si>
  <si>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</si>
  <si>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</si>
  <si>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</si>
  <si>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</si>
  <si>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</si>
  <si>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</si>
  <si>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</si>
  <si>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</si>
  <si>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</si>
  <si>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</si>
  <si>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</si>
  <si>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</si>
  <si>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</si>
  <si>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</si>
  <si>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</si>
  <si>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</si>
  <si>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</si>
  <si>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</si>
  <si>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</si>
  <si>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</si>
  <si>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</si>
  <si>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</si>
  <si>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</si>
  <si>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</si>
  <si>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</si>
  <si>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</si>
  <si>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</si>
  <si>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</si>
  <si>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</si>
  <si>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</si>
  <si>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</si>
  <si>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</si>
  <si>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</si>
  <si>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</si>
  <si>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</si>
  <si>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</si>
  <si>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</si>
  <si>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</si>
  <si>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</si>
  <si>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</si>
  <si>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</si>
  <si>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</si>
  <si>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</si>
  <si>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</si>
  <si>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</si>
  <si>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</si>
  <si>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</si>
  <si>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</si>
  <si>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</si>
  <si>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</si>
  <si>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</si>
  <si>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</si>
  <si>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</si>
  <si>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</si>
  <si>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</si>
  <si>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</si>
  <si>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</si>
  <si>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</si>
  <si>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</si>
  <si>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</si>
  <si>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</si>
  <si>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</si>
  <si>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</si>
  <si>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</si>
  <si>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</si>
  <si>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</si>
  <si>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</si>
  <si>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</si>
  <si>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</si>
  <si>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</si>
  <si>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</si>
  <si>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</si>
  <si>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</si>
  <si>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</si>
  <si>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</si>
  <si>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</si>
  <si>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</si>
  <si>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</si>
  <si>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</si>
  <si>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</si>
  <si>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</si>
  <si>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</si>
  <si>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</si>
  <si>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</si>
  <si>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</si>
  <si>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</si>
  <si>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</si>
  <si>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</si>
  <si>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</si>
  <si>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</si>
  <si>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</si>
  <si>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</si>
  <si>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</si>
  <si>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</si>
  <si>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</si>
  <si>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</si>
  <si>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</si>
  <si>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</si>
  <si>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</si>
  <si>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</si>
  <si>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</si>
  <si>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</si>
  <si>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</si>
  <si>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</si>
  <si>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</si>
  <si>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</si>
  <si>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</si>
  <si>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</si>
  <si>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</si>
  <si>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</si>
  <si>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</si>
  <si>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</si>
  <si>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</si>
  <si>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</si>
  <si>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</si>
  <si>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</si>
  <si>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</si>
  <si>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</si>
  <si>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</si>
  <si>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</si>
  <si>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</si>
  <si>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</si>
  <si>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</si>
  <si>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</si>
  <si>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</si>
  <si>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</si>
  <si>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</si>
  <si>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</si>
  <si>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</si>
  <si>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</si>
  <si>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</si>
  <si>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</si>
  <si>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</si>
  <si>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</si>
  <si>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</si>
  <si>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</si>
  <si>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</si>
  <si>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</si>
  <si>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</si>
  <si>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</si>
  <si>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</si>
  <si>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</si>
  <si>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</si>
  <si>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</si>
  <si>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</si>
  <si>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</si>
  <si>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</si>
  <si>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</si>
  <si>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</si>
  <si>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</si>
  <si>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</si>
  <si>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</si>
  <si>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</si>
  <si>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</si>
  <si>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</si>
  <si>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</si>
  <si>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</si>
  <si>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</si>
  <si>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</si>
  <si>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</si>
  <si>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</si>
  <si>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</si>
  <si>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</si>
  <si>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</si>
  <si>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</si>
  <si>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</si>
  <si>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</si>
  <si>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</si>
  <si>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</si>
  <si>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</si>
  <si>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</si>
  <si>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</si>
  <si>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</si>
  <si>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</si>
  <si>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</si>
  <si>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</si>
  <si>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</si>
  <si>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</si>
  <si>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</si>
  <si>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</si>
  <si>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</si>
  <si>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</si>
  <si>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</si>
  <si>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</si>
  <si>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</si>
  <si>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</si>
  <si>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</si>
  <si>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</si>
  <si>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</si>
  <si>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</si>
  <si>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</si>
  <si>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</si>
  <si>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</si>
  <si>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</si>
  <si>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</si>
  <si>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</si>
  <si>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</si>
  <si>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</si>
  <si>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</si>
  <si>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</si>
  <si>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</si>
  <si>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</si>
  <si>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</si>
  <si>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</si>
  <si>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</si>
  <si>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</si>
  <si>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</si>
  <si>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</si>
  <si>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</si>
  <si>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</si>
  <si>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</si>
  <si>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</si>
  <si>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</si>
  <si>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</si>
  <si>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</si>
  <si>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</si>
  <si>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</si>
  <si>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</si>
  <si>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</si>
  <si>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</si>
  <si>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</si>
  <si>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</si>
  <si>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</si>
  <si>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</si>
  <si>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</si>
  <si>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</si>
  <si>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</si>
  <si>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</si>
  <si>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</si>
  <si>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</si>
  <si>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</si>
  <si>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</si>
  <si>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</si>
  <si>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</si>
  <si>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</si>
  <si>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</si>
  <si>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</si>
  <si>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</si>
  <si>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</si>
  <si>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</si>
  <si>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</si>
  <si>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</si>
  <si>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</si>
  <si>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</si>
  <si>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</si>
  <si>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</si>
  <si>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</si>
  <si>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</si>
  <si>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</si>
  <si>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</si>
  <si>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</si>
  <si>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</si>
  <si>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</si>
  <si>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</si>
  <si>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</si>
  <si>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</si>
  <si>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</si>
  <si>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</si>
  <si>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</si>
  <si>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</si>
  <si>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</si>
  <si>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</si>
  <si>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</si>
  <si>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</si>
  <si>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</si>
  <si>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</si>
  <si>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</si>
  <si>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</si>
  <si>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</si>
  <si>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</si>
  <si>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</si>
  <si>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</si>
  <si>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</si>
  <si>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</si>
  <si>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</si>
  <si>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</si>
  <si>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</si>
  <si>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</si>
  <si>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</si>
  <si>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</si>
  <si>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</si>
  <si>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</si>
  <si>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</si>
  <si>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</si>
  <si>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</si>
  <si>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</si>
  <si>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</si>
  <si>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</si>
  <si>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</si>
  <si>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</si>
  <si>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</si>
  <si>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</si>
  <si>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</si>
  <si>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</si>
  <si>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</si>
  <si>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</si>
  <si>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</si>
  <si>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</si>
  <si>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</si>
  <si>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</si>
  <si>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</si>
  <si>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</si>
  <si>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</si>
  <si>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</si>
  <si>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</si>
  <si>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</si>
  <si>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</si>
  <si>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</si>
  <si>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</si>
  <si>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</si>
  <si>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</si>
  <si>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</si>
  <si>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</si>
  <si>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</si>
  <si>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</si>
  <si>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</si>
  <si>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</si>
  <si>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</si>
  <si>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</si>
  <si>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</si>
  <si>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</si>
  <si>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</si>
  <si>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</si>
  <si>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</si>
  <si>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</si>
  <si>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</si>
  <si>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</si>
  <si>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</si>
  <si>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</si>
  <si>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</si>
  <si>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</si>
  <si>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</si>
  <si>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</si>
  <si>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</si>
  <si>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</si>
  <si>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</si>
  <si>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</si>
  <si>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</si>
  <si>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</si>
  <si>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</si>
  <si>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</si>
  <si>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</si>
  <si>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</si>
  <si>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</si>
  <si>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</si>
  <si>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</si>
  <si>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</si>
  <si>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</si>
  <si>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</si>
  <si>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</si>
  <si>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</si>
  <si>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</si>
  <si>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</si>
  <si>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</si>
  <si>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</si>
  <si>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</si>
  <si>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</si>
  <si>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</si>
  <si>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</si>
  <si>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</si>
  <si>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</si>
  <si>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</si>
  <si>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</si>
  <si>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</si>
  <si>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</si>
  <si>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</si>
  <si>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</si>
  <si>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</si>
  <si>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</si>
  <si>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</si>
  <si>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</si>
  <si>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</si>
  <si>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</si>
  <si>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</si>
  <si>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</si>
  <si>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</si>
  <si>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</si>
  <si>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</si>
  <si>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</si>
  <si>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</si>
  <si>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</si>
  <si>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</si>
  <si>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</si>
  <si>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</si>
  <si>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</si>
  <si>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</si>
  <si>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</si>
  <si>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</si>
  <si>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</si>
  <si>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</si>
  <si>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</si>
  <si>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</si>
  <si>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</si>
  <si>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</si>
  <si>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</si>
  <si>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</si>
  <si>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</si>
  <si>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</si>
  <si>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</si>
  <si>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</si>
  <si>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</si>
  <si>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</si>
  <si>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</si>
  <si>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</si>
  <si>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</si>
  <si>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</si>
  <si>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</si>
  <si>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</si>
  <si>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</si>
  <si>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</si>
  <si>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</si>
  <si>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</si>
  <si>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</si>
  <si>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</si>
  <si>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</si>
  <si>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</si>
  <si>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</si>
  <si>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</si>
  <si>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</si>
  <si>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</si>
  <si>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</si>
  <si>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</si>
  <si>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</si>
  <si>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</si>
  <si>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</si>
  <si>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</si>
  <si>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</si>
  <si>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</si>
  <si>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</si>
  <si>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</si>
  <si>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</si>
  <si>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</si>
  <si>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</si>
  <si>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</si>
  <si>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</si>
  <si>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</si>
  <si>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</si>
  <si>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</si>
  <si>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</si>
  <si>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</si>
  <si>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</si>
  <si>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</si>
  <si>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</si>
  <si>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</si>
  <si>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</si>
  <si>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</si>
  <si>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</si>
  <si>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</si>
  <si>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</si>
  <si>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</si>
  <si>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</si>
  <si>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</si>
  <si>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</si>
  <si>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</si>
  <si>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</si>
  <si>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</si>
  <si>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</si>
  <si>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</si>
  <si>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</si>
  <si>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</si>
  <si>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</si>
  <si>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</si>
  <si>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</si>
  <si>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</si>
  <si>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</si>
  <si>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</si>
  <si>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</si>
  <si>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</si>
  <si>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</si>
  <si>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</si>
  <si>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</si>
  <si>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</si>
  <si>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</si>
  <si>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</si>
  <si>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</si>
  <si>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</si>
  <si>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</si>
  <si>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</si>
  <si>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</si>
  <si>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</si>
  <si>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</si>
  <si>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</si>
  <si>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</si>
  <si>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</si>
  <si>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</si>
  <si>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</si>
  <si>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</si>
  <si>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</si>
  <si>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</si>
  <si>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</si>
  <si>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</si>
  <si>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</si>
  <si>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</si>
  <si>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</si>
  <si>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</si>
  <si>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</si>
  <si>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</si>
  <si>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</si>
  <si>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</si>
  <si>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</si>
  <si>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</si>
  <si>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</si>
  <si>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</si>
  <si>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</si>
  <si>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</si>
  <si>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</si>
  <si>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</si>
  <si>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</si>
  <si>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</si>
  <si>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</si>
  <si>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</si>
  <si>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</si>
  <si>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</si>
  <si>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</si>
  <si>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</si>
  <si>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</si>
  <si>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</si>
  <si>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</si>
  <si>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</si>
  <si>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</si>
  <si>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</si>
  <si>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</si>
  <si>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</si>
  <si>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</si>
  <si>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</si>
  <si>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</si>
  <si>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</si>
  <si>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</si>
  <si>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</si>
  <si>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</si>
  <si>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</si>
  <si>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</si>
  <si>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</si>
  <si>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</si>
  <si>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</si>
  <si>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</si>
  <si>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</si>
  <si>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</si>
  <si>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</si>
  <si>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</si>
  <si>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</si>
  <si>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</si>
  <si>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</si>
  <si>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</si>
  <si>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</si>
  <si>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</si>
  <si>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</si>
  <si>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</si>
  <si>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</si>
  <si>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</si>
  <si>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</si>
  <si>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</si>
  <si>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</si>
  <si>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</si>
  <si>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</si>
  <si>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</si>
  <si>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</si>
  <si>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</si>
  <si>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</si>
  <si>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</si>
  <si>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</si>
  <si>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</si>
  <si>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</si>
  <si>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</si>
  <si>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</si>
  <si>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</si>
  <si>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</si>
  <si>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</si>
  <si>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</si>
  <si>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</si>
  <si>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</si>
  <si>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</si>
  <si>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</si>
  <si>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</si>
  <si>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</si>
  <si>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</si>
  <si>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</si>
  <si>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</si>
  <si>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</si>
  <si>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</si>
  <si>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</si>
  <si>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</si>
  <si>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</si>
  <si>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</si>
  <si>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</si>
  <si>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</si>
  <si>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</si>
  <si>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</si>
  <si>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</si>
  <si>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</si>
  <si>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</si>
  <si>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</si>
  <si>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</si>
  <si>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</si>
  <si>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</si>
  <si>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</si>
  <si>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</si>
  <si>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</si>
  <si>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</si>
  <si>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</si>
  <si>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</si>
  <si>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</si>
  <si>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</si>
  <si>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</si>
  <si>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</si>
  <si>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</si>
  <si>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</si>
  <si>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</si>
  <si>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</si>
  <si>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</si>
  <si>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</si>
  <si>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</si>
  <si>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</si>
  <si>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</si>
  <si>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</si>
  <si>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</si>
  <si>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</si>
  <si>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</si>
  <si>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</si>
  <si>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</si>
  <si>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</si>
  <si>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</si>
  <si>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</si>
  <si>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</si>
  <si>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</si>
  <si>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</si>
  <si>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</si>
  <si>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</si>
  <si>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</si>
  <si>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</si>
  <si>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</si>
  <si>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</si>
  <si>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</si>
  <si>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</si>
  <si>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</si>
  <si>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</si>
  <si>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</si>
  <si>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</si>
  <si>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</si>
  <si>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</si>
  <si>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</si>
  <si>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</si>
  <si>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</si>
  <si>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</si>
  <si>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</si>
  <si>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</si>
  <si>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</si>
  <si>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</si>
  <si>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</si>
  <si>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</si>
  <si>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</si>
  <si>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</si>
  <si>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</si>
  <si>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</si>
  <si>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</si>
  <si>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</si>
  <si>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</si>
  <si>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</si>
  <si>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</si>
  <si>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</si>
  <si>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</si>
  <si>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</si>
  <si>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</si>
  <si>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</si>
  <si>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</si>
  <si>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</si>
  <si>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</si>
  <si>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</si>
  <si>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</si>
  <si>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</si>
  <si>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</si>
  <si>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</si>
  <si>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</si>
  <si>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</si>
  <si>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</si>
  <si>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</si>
  <si>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</si>
  <si>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</si>
  <si>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</si>
  <si>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</si>
  <si>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</si>
  <si>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</si>
  <si>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</si>
  <si>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</si>
  <si>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</si>
  <si>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</si>
  <si>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</si>
  <si>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</si>
  <si>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</si>
  <si>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</si>
  <si>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</si>
  <si>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</si>
  <si>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</si>
  <si>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</si>
  <si>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</si>
  <si>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</si>
  <si>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</si>
  <si>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</si>
  <si>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</si>
  <si>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</si>
  <si>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</si>
  <si>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</si>
  <si>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</si>
  <si>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</si>
  <si>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</si>
  <si>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</si>
  <si>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</si>
  <si>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</si>
  <si>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</si>
  <si>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</si>
  <si>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</si>
  <si>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</si>
  <si>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</si>
  <si>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</si>
  <si>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</si>
  <si>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</si>
  <si>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</si>
  <si>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</si>
  <si>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</si>
  <si>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</si>
  <si>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</si>
  <si>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</si>
  <si>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</si>
  <si>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</si>
  <si>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</si>
  <si>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</si>
  <si>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</si>
  <si>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</si>
  <si>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</si>
  <si>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</si>
  <si>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</si>
  <si>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</si>
  <si>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</si>
  <si>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</si>
  <si>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</si>
  <si>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</si>
  <si>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</si>
  <si>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</si>
  <si>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</si>
  <si>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</si>
  <si>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</si>
  <si>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</si>
  <si>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</si>
  <si>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</si>
  <si>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</si>
  <si>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</si>
  <si>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</si>
  <si>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</si>
  <si>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</si>
  <si>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</si>
  <si>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</si>
  <si>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</si>
  <si>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</si>
  <si>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</si>
  <si>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</si>
  <si>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</si>
  <si>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</si>
  <si>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</si>
  <si>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</si>
  <si>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</si>
  <si>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</si>
  <si>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</si>
  <si>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</si>
  <si>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</si>
  <si>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</si>
  <si>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</si>
  <si>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</si>
  <si>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</si>
  <si>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</si>
  <si>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</si>
  <si>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</si>
  <si>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</si>
  <si>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</si>
  <si>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</si>
  <si>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</si>
  <si>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</si>
  <si>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</si>
  <si>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</si>
  <si>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</si>
  <si>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</si>
  <si>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</si>
  <si>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</si>
  <si>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</si>
  <si>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</si>
  <si>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</si>
  <si>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</si>
  <si>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</si>
  <si>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</si>
  <si>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</si>
  <si>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</si>
  <si>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</si>
  <si>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</si>
  <si>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</si>
  <si>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</si>
  <si>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</si>
  <si>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</si>
  <si>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</si>
  <si>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</si>
  <si>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</si>
  <si>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</si>
  <si>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</si>
  <si>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</si>
  <si>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</si>
  <si>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</si>
  <si>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</si>
  <si>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</si>
  <si>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</si>
  <si>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</si>
  <si>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</si>
  <si>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</si>
  <si>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</si>
  <si>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</si>
  <si>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</si>
  <si>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</si>
  <si>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</si>
  <si>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</si>
  <si>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</si>
  <si>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</si>
  <si>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</si>
  <si>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</si>
  <si>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</si>
  <si>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</si>
  <si>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</si>
  <si>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</si>
  <si>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</si>
  <si>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</si>
  <si>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</si>
  <si>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</si>
  <si>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</si>
  <si>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</si>
  <si>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</si>
  <si>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</si>
  <si>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</si>
  <si>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</si>
  <si>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</si>
  <si>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</si>
  <si>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</si>
  <si>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</si>
  <si>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</si>
  <si>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</si>
  <si>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</si>
  <si>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</si>
  <si>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</si>
  <si>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</si>
  <si>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</si>
  <si>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</si>
  <si>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</si>
  <si>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</si>
  <si>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</si>
  <si>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</si>
  <si>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</si>
  <si>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</si>
  <si>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</si>
  <si>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</si>
  <si>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</si>
  <si>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</si>
  <si>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</si>
  <si>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</si>
  <si>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</si>
  <si>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</si>
  <si>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</si>
  <si>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</si>
  <si>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</si>
  <si>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</si>
  <si>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</si>
  <si>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</si>
  <si>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</si>
  <si>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</si>
  <si>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</si>
  <si>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</si>
  <si>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</si>
  <si>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</si>
  <si>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</si>
  <si>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</si>
  <si>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</si>
  <si>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</si>
  <si>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</si>
  <si>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</si>
  <si>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</si>
  <si>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</si>
  <si>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</si>
  <si>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</si>
  <si>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</si>
  <si>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</si>
  <si>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</si>
  <si>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</si>
  <si>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</si>
  <si>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</si>
  <si>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</si>
  <si>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</si>
  <si>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</si>
  <si>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</si>
  <si>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</si>
  <si>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</si>
  <si>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</si>
  <si>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</si>
  <si>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</si>
  <si>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</si>
  <si>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</si>
  <si>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</si>
  <si>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</si>
  <si>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</si>
  <si>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</si>
  <si>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</si>
  <si>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CASALUNA</t>
  </si>
  <si>
    <t xml:space="preserve">Gavignano</t>
  </si>
  <si>
    <t xml:space="preserve">06213400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</si>
  <si>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</si>
  <si>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</si>
  <si>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</si>
  <si>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</si>
  <si>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</si>
  <si>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</si>
  <si>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</si>
  <si>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</si>
  <si>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</si>
  <si>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</si>
  <si>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</si>
  <si>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</si>
  <si>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</si>
  <si>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</si>
  <si>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</si>
  <si>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</si>
  <si>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</si>
  <si>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</si>
  <si>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</si>
  <si>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</si>
  <si>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</si>
  <si>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</si>
  <si>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</si>
  <si>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</si>
  <si>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</si>
  <si>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</si>
  <si>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</si>
  <si>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</si>
  <si>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</si>
  <si>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</si>
  <si>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</si>
  <si>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</si>
  <si>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</si>
  <si>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</si>
  <si>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</si>
  <si>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</si>
  <si>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</si>
  <si>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</si>
  <si>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</si>
  <si>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</si>
  <si>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</si>
  <si>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</si>
  <si>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</si>
  <si>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</si>
  <si>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</si>
  <si>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</si>
  <si>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</si>
  <si>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</si>
  <si>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</si>
  <si>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</si>
  <si>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(0,71 %)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</si>
  <si>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</si>
  <si>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</si>
  <si>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</si>
  <si>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</si>
  <si>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</si>
  <si>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</si>
  <si>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</si>
  <si>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</si>
  <si>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</si>
  <si>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</si>
  <si>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</si>
  <si>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</si>
  <si>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</si>
  <si>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</si>
  <si>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</si>
  <si>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</si>
  <si>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</si>
  <si>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</si>
  <si>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</si>
  <si>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</si>
  <si>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Potentilla reptans</t>
  </si>
  <si>
    <t xml:space="preserve">Leptolyngbya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</si>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</sst>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11.25</v>
      </c>
      <c r="M5" s="323"/>
      <c r="N5" s="324" t="s">
        <v>154</v>
      </c>
      <c r="O5" s="325" t="n">
        <v>10.7142857142857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8.57142857142857</v>
      </c>
      <c r="O8" s="354" t="n">
        <f aca="false">IF(ISERROR(AVERAGE(J23:J82)),"      -",AVERAGE(J23:J82))</f>
        <v>1.07142857142857</v>
      </c>
      <c r="P8" s="355"/>
      <c r="Q8" s="280"/>
      <c r="R8" s="280"/>
      <c r="S8" s="280"/>
      <c r="T8" s="280"/>
      <c r="U8" s="280"/>
      <c r="V8" s="280"/>
      <c r="W8" s="292"/>
      <c r="X8" s="293"/>
    </row>
    <row r="9" customFormat="false" ht="13.5" hidden="false" customHeight="false" outlineLevel="0" collapsed="false">
      <c r="A9" s="313" t="s">
        <v>2635</v>
      </c>
      <c r="B9" s="356" t="n">
        <v>0.9</v>
      </c>
      <c r="C9" s="357" t="n">
        <v>0.1</v>
      </c>
      <c r="D9" s="358"/>
      <c r="E9" s="358"/>
      <c r="F9" s="359" t="n">
        <f aca="false">($B9*$B$7+$C9*$C$7)/100</f>
        <v>0.7</v>
      </c>
      <c r="G9" s="360"/>
      <c r="H9" s="361"/>
      <c r="I9" s="362"/>
      <c r="J9" s="363"/>
      <c r="K9" s="343"/>
      <c r="L9" s="364"/>
      <c r="M9" s="353" t="s">
        <v>2636</v>
      </c>
      <c r="N9" s="354" t="n">
        <f aca="false">IF(ISERROR(STDEVP(I23:I82)),"     -",STDEVP(I23:I82))</f>
        <v>4.92391083988974</v>
      </c>
      <c r="O9" s="354" t="n">
        <f aca="false">IF(ISERROR(STDEVP(J23:J82)),"      -",STDEVP(J23:J82))</f>
        <v>0.798595706249925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1</v>
      </c>
      <c r="L13" s="386"/>
      <c r="M13" s="397" t="s">
        <v>2648</v>
      </c>
      <c r="N13" s="398" t="n">
        <f aca="false">COUNTIF(F23:F82,"&gt;0")</f>
        <v>16</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14</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8</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2</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0.905</v>
      </c>
      <c r="C20" s="436" t="n">
        <f aca="false">SUM(C23:C82)</f>
        <v>0.125</v>
      </c>
      <c r="D20" s="437"/>
      <c r="E20" s="438" t="s">
        <v>2660</v>
      </c>
      <c r="F20" s="439" t="n">
        <f aca="false">($B20*$B$7+$C20*$C$7)/100</f>
        <v>0.71</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0.67875</v>
      </c>
      <c r="C21" s="449" t="n">
        <f aca="false">C20*C7/100</f>
        <v>0.03125</v>
      </c>
      <c r="D21" s="381" t="str">
        <f aca="false">IF(F21=0,"",IF((ABS(F21-F19))&gt;(0.2*F21),CONCATENATE(" rec. par taxa (",F21," %) supérieur à 20 % !"),""))</f>
        <v> rec. par taxa (0,71 %) supérieur à 20 % !</v>
      </c>
      <c r="E21" s="450" t="str">
        <f aca="false">IF(F21=0,"",IF((ABS(F21-F19))&gt;(0.2*F21),CONCATENATE("ATTENTION : écart entre rec. par grp (",F19," %) ","et",""),""))</f>
        <v>ATTENTION : écart entre rec. par grp (0 %) et</v>
      </c>
      <c r="F21" s="451" t="n">
        <f aca="false">B21+C21</f>
        <v>0.71</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0.75</v>
      </c>
      <c r="C23" s="476" t="n">
        <v>0.01</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0.565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0.565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154</v>
      </c>
      <c r="B24" s="494" t="n">
        <v>0.01</v>
      </c>
      <c r="C24" s="495"/>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0.0075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0.0075</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500"/>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220</v>
      </c>
      <c r="B25" s="494" t="n">
        <v>0.005</v>
      </c>
      <c r="C25" s="495" t="n">
        <v>0.005</v>
      </c>
      <c r="D25" s="477" t="str">
        <f aca="false">IF(ISERROR(VLOOKUP($A25,'liste reference'!$A$7:$D$904,2,0)),IF(ISERROR(VLOOKUP($A25,'liste reference'!$B$7:$D$904,1,0)),"",VLOOKUP($A25,'liste reference'!$B$7:$D$904,1,0)),VLOOKUP($A25,'liste reference'!$A$7:$D$904,2,0))</f>
        <v>Nostoc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9</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1105</v>
      </c>
      <c r="Q25" s="486" t="n">
        <f aca="false">IF(ISTEXT(H25),"",(B25*$B$7/100)+(C25*$C$7/100))</f>
        <v>0.005</v>
      </c>
      <c r="R25" s="487" t="n">
        <f aca="false">IF(OR(ISTEXT(H25),Q25=0),"",IF(Q25&lt;0.1,1,IF(Q25&lt;1,2,IF(Q25&lt;10,3,IF(Q25&lt;50,4,IF(Q25&gt;=50,5,""))))))</f>
        <v>1</v>
      </c>
      <c r="S25" s="487" t="n">
        <f aca="false">IF(ISERROR(R25*I25),0,R25*I25)</f>
        <v>9</v>
      </c>
      <c r="T25" s="487" t="n">
        <f aca="false">IF(ISERROR(R25*I25*J25),0,R25*I25*J25)</f>
        <v>9</v>
      </c>
      <c r="U25" s="499" t="n">
        <f aca="false">IF(ISERROR(R25*J25),0,R25*J25)</f>
        <v>1</v>
      </c>
      <c r="V25" s="488" t="str">
        <f aca="false">IF(AND(A25="",F25=0),"",IF(F25=0,"Il manque le(s) % de rec. !",""))</f>
        <v/>
      </c>
      <c r="W25" s="500"/>
      <c r="Y25" s="490" t="str">
        <f aca="false">IF(A25="new.cod","NEWCOD",IF(AND((Z25=""),ISTEXT(A25)),A25,IF(Z25="","",INDEX('liste reference'!$A$8:$A$904,Z25))))</f>
        <v>NOSSPX</v>
      </c>
      <c r="Z25" s="280" t="n">
        <f aca="false">IF(ISERROR(MATCH(A25,'liste reference'!$A$8:$A$904,0)),IF(ISERROR(MATCH(A25,'liste reference'!$B$8:$B$904,0)),"",(MATCH(A25,'liste reference'!$B$8:$B$904,0))),(MATCH(A25,'liste reference'!$A$8:$A$904,0)))</f>
        <v>54</v>
      </c>
      <c r="AA25" s="491"/>
      <c r="AB25" s="492"/>
      <c r="AC25" s="492"/>
      <c r="BB25" s="280" t="n">
        <f aca="false">IF(A25="","",1)</f>
        <v>1</v>
      </c>
    </row>
    <row r="26" customFormat="false" ht="12.75" hidden="false" customHeight="false" outlineLevel="0" collapsed="false">
      <c r="A26" s="493" t="s">
        <v>226</v>
      </c>
      <c r="B26" s="494" t="n">
        <v>0.005</v>
      </c>
      <c r="C26" s="495"/>
      <c r="D26" s="477" t="str">
        <f aca="false">IF(ISERROR(VLOOKUP($A26,'liste reference'!$A$7:$D$904,2,0)),IF(ISERROR(VLOOKUP($A26,'liste reference'!$B$7:$D$904,1,0)),"",VLOOKUP($A26,'liste reference'!$B$7:$D$904,1,0)),VLOOKUP($A26,'liste reference'!$A$7:$D$904,2,0))</f>
        <v>Oscillatoria sp.</v>
      </c>
      <c r="E26" s="496" t="e">
        <f aca="false">IF(D26="",0,VLOOKUP(D26,D$22:D25,1,0))</f>
        <v>#N/A</v>
      </c>
      <c r="F26" s="497" t="n">
        <f aca="false">($B26*$B$7+$C26*$C$7)/100</f>
        <v>0.00375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11</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Oscillatoria sp.</v>
      </c>
      <c r="L26" s="498"/>
      <c r="M26" s="498"/>
      <c r="N26" s="498"/>
      <c r="O26" s="484" t="s">
        <v>2685</v>
      </c>
      <c r="P26" s="485" t="n">
        <f aca="false">IF($A26="NEWCOD",IF($AC26="","No",$AC26),IF(ISTEXT($E26),"DEJA SAISI !",IF($A26="","",IF(ISERROR(VLOOKUP($A26,'liste reference'!A:S,19,FALSE())),IF(ISERROR(VLOOKUP($A26,'liste reference'!B:S,19,FALSE())),"",VLOOKUP($A26,'liste reference'!B:S,19,FALSE())),VLOOKUP($A26,'liste reference'!A:S,19,FALSE())))))</f>
        <v>1108</v>
      </c>
      <c r="Q26" s="486" t="n">
        <f aca="false">IF(ISTEXT(H26),"",(B26*$B$7/100)+(C26*$C$7/100))</f>
        <v>0.00375</v>
      </c>
      <c r="R26" s="487" t="n">
        <f aca="false">IF(OR(ISTEXT(H26),Q26=0),"",IF(Q26&lt;0.1,1,IF(Q26&lt;1,2,IF(Q26&lt;10,3,IF(Q26&lt;50,4,IF(Q26&gt;=50,5,""))))))</f>
        <v>1</v>
      </c>
      <c r="S26" s="487" t="n">
        <f aca="false">IF(ISERROR(R26*I26),0,R26*I26)</f>
        <v>11</v>
      </c>
      <c r="T26" s="487" t="n">
        <f aca="false">IF(ISERROR(R26*I26*J26),0,R26*I26*J26)</f>
        <v>11</v>
      </c>
      <c r="U26" s="499" t="n">
        <f aca="false">IF(ISERROR(R26*J26),0,R26*J26)</f>
        <v>1</v>
      </c>
      <c r="V26" s="488" t="str">
        <f aca="false">IF(AND(A26="",F26=0),"",IF(F26=0,"Il manque le(s) % de rec. !",""))</f>
        <v/>
      </c>
      <c r="W26" s="500"/>
      <c r="Y26" s="490" t="str">
        <f aca="false">IF(A26="new.cod","NEWCOD",IF(AND((Z26=""),ISTEXT(A26)),A26,IF(Z26="","",INDEX('liste reference'!$A$8:$A$904,Z26))))</f>
        <v>OSCSPX</v>
      </c>
      <c r="Z26" s="280" t="n">
        <f aca="false">IF(ISERROR(MATCH(A26,'liste reference'!$A$8:$A$904,0)),IF(ISERROR(MATCH(A26,'liste reference'!$B$8:$B$904,0)),"",(MATCH(A26,'liste reference'!$B$8:$B$904,0))),(MATCH(A26,'liste reference'!$A$8:$A$904,0)))</f>
        <v>56</v>
      </c>
      <c r="AA26" s="491" t="s">
        <v>2685</v>
      </c>
      <c r="AB26" s="492"/>
      <c r="AC26" s="492"/>
      <c r="BB26" s="280" t="n">
        <f aca="false">IF(A26="","",1)</f>
        <v>1</v>
      </c>
    </row>
    <row r="27" customFormat="false" ht="12.75" hidden="false" customHeight="false" outlineLevel="0" collapsed="false">
      <c r="A27" s="493" t="s">
        <v>258</v>
      </c>
      <c r="B27" s="494" t="n">
        <v>0.005</v>
      </c>
      <c r="C27" s="495"/>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0.00375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0.00375</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500"/>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270</v>
      </c>
      <c r="B28" s="494" t="n">
        <v>0.005</v>
      </c>
      <c r="C28" s="495"/>
      <c r="D28" s="477" t="str">
        <f aca="false">IF(ISERROR(VLOOKUP($A28,'liste reference'!$A$7:$D$904,2,0)),IF(ISERROR(VLOOKUP($A28,'liste reference'!$B$7:$D$904,1,0)),"",VLOOKUP($A28,'liste reference'!$B$7:$D$904,1,0)),VLOOKUP($A28,'liste reference'!$A$7:$D$904,2,0))</f>
        <v>Tetraspora sp.</v>
      </c>
      <c r="E28" s="496" t="e">
        <f aca="false">IF(D28="",0,VLOOKUP(D28,D$22:D27,1,0))</f>
        <v>#N/A</v>
      </c>
      <c r="F28" s="497" t="n">
        <f aca="false">($B28*$B$7+$C28*$C$7)/100</f>
        <v>0.00375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Tetraspora sp.</v>
      </c>
      <c r="L28" s="498"/>
      <c r="M28" s="498"/>
      <c r="N28" s="498"/>
      <c r="O28" s="484" t="s">
        <v>2685</v>
      </c>
      <c r="P28" s="485" t="n">
        <f aca="false">IF($A28="NEWCOD",IF($AC28="","No",$AC28),IF(ISTEXT($E28),"DEJA SAISI !",IF($A28="","",IF(ISERROR(VLOOKUP($A28,'liste reference'!A:S,19,FALSE())),IF(ISERROR(VLOOKUP($A28,'liste reference'!B:S,19,FALSE())),"",VLOOKUP($A28,'liste reference'!B:S,19,FALSE())),VLOOKUP($A28,'liste reference'!A:S,19,FALSE())))))</f>
        <v>1138</v>
      </c>
      <c r="Q28" s="486" t="n">
        <f aca="false">IF(ISTEXT(H28),"",(B28*$B$7/100)+(C28*$C$7/100))</f>
        <v>0.00375</v>
      </c>
      <c r="R28" s="487" t="n">
        <f aca="false">IF(OR(ISTEXT(H28),Q28=0),"",IF(Q28&lt;0.1,1,IF(Q28&lt;1,2,IF(Q28&lt;10,3,IF(Q28&lt;50,4,IF(Q28&gt;=50,5,""))))))</f>
        <v>1</v>
      </c>
      <c r="S28" s="487" t="n">
        <f aca="false">IF(ISERROR(R28*I28),0,R28*I28)</f>
        <v>12</v>
      </c>
      <c r="T28" s="487" t="n">
        <f aca="false">IF(ISERROR(R28*I28*J28),0,R28*I28*J28)</f>
        <v>12</v>
      </c>
      <c r="U28" s="499" t="n">
        <f aca="false">IF(ISERROR(R28*J28),0,R28*J28)</f>
        <v>1</v>
      </c>
      <c r="V28" s="488" t="str">
        <f aca="false">IF(AND(A28="",F28=0),"",IF(F28=0,"Il manque le(s) % de rec. !",""))</f>
        <v/>
      </c>
      <c r="W28" s="500"/>
      <c r="Y28" s="490" t="str">
        <f aca="false">IF(A28="new.cod","NEWCOD",IF(AND((Z28=""),ISTEXT(A28)),A28,IF(Z28="","",INDEX('liste reference'!$A$8:$A$904,Z28))))</f>
        <v>TETSPX</v>
      </c>
      <c r="Z28" s="280" t="n">
        <f aca="false">IF(ISERROR(MATCH(A28,'liste reference'!$A$8:$A$904,0)),IF(ISERROR(MATCH(A28,'liste reference'!$B$8:$B$904,0)),"",(MATCH(A28,'liste reference'!$B$8:$B$904,0))),(MATCH(A28,'liste reference'!$A$8:$A$904,0)))</f>
        <v>73</v>
      </c>
      <c r="AA28" s="491" t="s">
        <v>2685</v>
      </c>
      <c r="AB28" s="492"/>
      <c r="AC28" s="492"/>
      <c r="BB28" s="280" t="n">
        <f aca="false">IF(A28="","",1)</f>
        <v>1</v>
      </c>
    </row>
    <row r="29" customFormat="false" ht="12.75" hidden="false" customHeight="false" outlineLevel="0" collapsed="false">
      <c r="A29" s="493" t="s">
        <v>910</v>
      </c>
      <c r="B29" s="494" t="n">
        <v>0.005</v>
      </c>
      <c r="C29" s="495" t="n">
        <v>0.03</v>
      </c>
      <c r="D29" s="477" t="str">
        <f aca="false">IF(ISERROR(VLOOKUP($A29,'liste reference'!$A$7:$D$904,2,0)),IF(ISERROR(VLOOKUP($A29,'liste reference'!$B$7:$D$904,1,0)),"",VLOOKUP($A29,'liste reference'!$B$7:$D$904,1,0)),VLOOKUP($A29,'liste reference'!$A$7:$D$904,2,0))</f>
        <v>Fontinalis hypnoides var. duriaei</v>
      </c>
      <c r="E29" s="496" t="e">
        <f aca="false">IF(D29="",0,VLOOKUP(D29,D$22:D28,1,0))</f>
        <v>#N/A</v>
      </c>
      <c r="F29" s="497" t="n">
        <f aca="false">($B29*$B$7+$C29*$C$7)/100</f>
        <v>0.01125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14</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hypnoides var. duriaei</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10215</v>
      </c>
      <c r="Q29" s="486" t="n">
        <f aca="false">IF(ISTEXT(H29),"",(B29*$B$7/100)+(C29*$C$7/100))</f>
        <v>0.01125</v>
      </c>
      <c r="R29" s="487" t="n">
        <f aca="false">IF(OR(ISTEXT(H29),Q29=0),"",IF(Q29&lt;0.1,1,IF(Q29&lt;1,2,IF(Q29&lt;10,3,IF(Q29&lt;50,4,IF(Q29&gt;=50,5,""))))))</f>
        <v>1</v>
      </c>
      <c r="S29" s="487" t="n">
        <f aca="false">IF(ISERROR(R29*I29),0,R29*I29)</f>
        <v>14</v>
      </c>
      <c r="T29" s="487" t="n">
        <f aca="false">IF(ISERROR(R29*I29*J29),0,R29*I29*J29)</f>
        <v>42</v>
      </c>
      <c r="U29" s="499" t="n">
        <f aca="false">IF(ISERROR(R29*J29),0,R29*J29)</f>
        <v>3</v>
      </c>
      <c r="V29" s="488" t="str">
        <f aca="false">IF(AND(A29="",F29=0),"",IF(F29=0,"Il manque le(s) % de rec. !",""))</f>
        <v/>
      </c>
      <c r="W29" s="500"/>
      <c r="Y29" s="490" t="str">
        <f aca="false">IF(A29="new.cod","NEWCOD",IF(AND((Z29=""),ISTEXT(A29)),A29,IF(Z29="","",INDEX('liste reference'!$A$8:$A$904,Z29))))</f>
        <v>FONHYD</v>
      </c>
      <c r="Z29" s="280" t="n">
        <f aca="false">IF(ISERROR(MATCH(A29,'liste reference'!$A$8:$A$904,0)),IF(ISERROR(MATCH(A29,'liste reference'!$B$8:$B$904,0)),"",(MATCH(A29,'liste reference'!$B$8:$B$904,0))),(MATCH(A29,'liste reference'!$A$8:$A$904,0)))</f>
        <v>212</v>
      </c>
      <c r="AA29" s="491"/>
      <c r="AB29" s="492"/>
      <c r="AC29" s="492"/>
      <c r="BB29" s="280" t="n">
        <f aca="false">IF(A29="","",1)</f>
        <v>1</v>
      </c>
    </row>
    <row r="30" customFormat="false" ht="12.75" hidden="false" customHeight="false" outlineLevel="0" collapsed="false">
      <c r="A30" s="493" t="s">
        <v>1153</v>
      </c>
      <c r="B30" s="494" t="n">
        <v>0.01</v>
      </c>
      <c r="C30" s="495"/>
      <c r="D30" s="477" t="str">
        <f aca="false">IF(ISERROR(VLOOKUP($A30,'liste reference'!$A$7:$D$904,2,0)),IF(ISERROR(VLOOKUP($A30,'liste reference'!$B$7:$D$904,1,0)),"",VLOOKUP($A30,'liste reference'!$B$7:$D$904,1,0)),VLOOKUP($A30,'liste reference'!$A$7:$D$904,2,0))</f>
        <v>Equisetum arvense</v>
      </c>
      <c r="E30" s="496" t="e">
        <f aca="false">IF(D30="",0,VLOOKUP(D30,D$22:D29,1,0))</f>
        <v>#N/A</v>
      </c>
      <c r="F30" s="497" t="n">
        <f aca="false">($B30*$B$7+$C30*$C$7)/100</f>
        <v>0.0075</v>
      </c>
      <c r="G30" s="479" t="str">
        <f aca="false">IF(A30="","",IF(ISERROR(VLOOKUP($A30,'liste reference'!$A$7:$P$904,13,0)),IF(ISERROR(VLOOKUP($A30,'liste reference'!$B$7:$P$904,12,0)),"    -",VLOOKUP($A30,'liste reference'!$B$7:$P$904,12,0)),VLOOKUP($A30,'liste reference'!$A$7:$P$904,13,0)))</f>
        <v>PTE</v>
      </c>
      <c r="H30" s="480" t="n">
        <f aca="false">IF(A30="","x",IF(ISERROR(VLOOKUP($A30,'liste reference'!$A$8:$P$904,14,0)),IF(ISERROR(VLOOKUP($A30,'liste reference'!$B$8:$P$904,13,0)),"x",VLOOKUP($A30,'liste reference'!$B$8:$P$904,13,0)),VLOOKUP($A30,'liste reference'!$A$8:$P$904,14,0)))</f>
        <v>6</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arvense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1384</v>
      </c>
      <c r="Q30" s="486" t="n">
        <f aca="false">IF(ISTEXT(H30),"",(B30*$B$7/100)+(C30*$C$7/100))</f>
        <v>0.0075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EQUARV</v>
      </c>
      <c r="Z30" s="280" t="n">
        <f aca="false">IF(ISERROR(MATCH(A30,'liste reference'!$A$8:$A$904,0)),IF(ISERROR(MATCH(A30,'liste reference'!$B$8:$B$904,0)),"",(MATCH(A30,'liste reference'!$B$8:$B$904,0))),(MATCH(A30,'liste reference'!$A$8:$A$904,0)))</f>
        <v>278</v>
      </c>
      <c r="AA30" s="491"/>
      <c r="AB30" s="492"/>
      <c r="AC30" s="492"/>
      <c r="BB30" s="280" t="n">
        <f aca="false">IF(A30="","",1)</f>
        <v>1</v>
      </c>
    </row>
    <row r="31" customFormat="false" ht="12.75" hidden="false" customHeight="false" outlineLevel="0" collapsed="false">
      <c r="A31" s="493" t="s">
        <v>1224</v>
      </c>
      <c r="B31" s="494"/>
      <c r="C31" s="495" t="n">
        <v>0.005</v>
      </c>
      <c r="D31" s="477" t="str">
        <f aca="false">IF(ISERROR(VLOOKUP($A31,'liste reference'!$A$7:$D$904,2,0)),IF(ISERROR(VLOOKUP($A31,'liste reference'!$B$7:$D$904,1,0)),"",VLOOKUP($A31,'liste reference'!$B$7:$D$904,1,0)),VLOOKUP($A31,'liste reference'!$A$7:$D$904,2,0))</f>
        <v>Apium nodiflorum</v>
      </c>
      <c r="E31" s="496" t="e">
        <f aca="false">IF(D31="",0,VLOOKUP(D31,D$22:D30,1,0))</f>
        <v>#N/A</v>
      </c>
      <c r="F31" s="497" t="n">
        <f aca="false">($B31*$B$7+$C31*$C$7)/100</f>
        <v>0.00125</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Apium nodiflorum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1974</v>
      </c>
      <c r="Q31" s="486" t="n">
        <f aca="false">IF(ISTEXT(H31),"",(B31*$B$7/100)+(C31*$C$7/100))</f>
        <v>0.00125</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500"/>
      <c r="Y31" s="490" t="str">
        <f aca="false">IF(A31="new.cod","NEWCOD",IF(AND((Z31=""),ISTEXT(A31)),A31,IF(Z31="","",INDEX('liste reference'!$A$8:$A$904,Z31))))</f>
        <v>APINOD</v>
      </c>
      <c r="Z31" s="280" t="n">
        <f aca="false">IF(ISERROR(MATCH(A31,'liste reference'!$A$8:$A$904,0)),IF(ISERROR(MATCH(A31,'liste reference'!$B$8:$B$904,0)),"",(MATCH(A31,'liste reference'!$B$8:$B$904,0))),(MATCH(A31,'liste reference'!$A$8:$A$904,0)))</f>
        <v>309</v>
      </c>
      <c r="AA31" s="491"/>
      <c r="AB31" s="492"/>
      <c r="AC31" s="492"/>
      <c r="BB31" s="280" t="n">
        <f aca="false">IF(A31="","",1)</f>
        <v>1</v>
      </c>
    </row>
    <row r="32" customFormat="false" ht="12.75" hidden="false" customHeight="false" outlineLevel="0" collapsed="false">
      <c r="A32" s="493" t="s">
        <v>1708</v>
      </c>
      <c r="B32" s="494" t="n">
        <v>0.02</v>
      </c>
      <c r="C32" s="495" t="n">
        <v>0.01</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0.0175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0.0175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500"/>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c r="AB32" s="492"/>
      <c r="AC32" s="492"/>
      <c r="BB32" s="280" t="n">
        <f aca="false">IF(A32="","",1)</f>
        <v>1</v>
      </c>
    </row>
    <row r="33" customFormat="false" ht="12.75" hidden="false" customHeight="false" outlineLevel="0" collapsed="false">
      <c r="A33" s="493" t="s">
        <v>1899</v>
      </c>
      <c r="B33" s="494"/>
      <c r="C33" s="495" t="n">
        <v>0.005</v>
      </c>
      <c r="D33" s="477" t="str">
        <f aca="false">IF(ISERROR(VLOOKUP($A33,'liste reference'!$A$7:$D$904,2,0)),IF(ISERROR(VLOOKUP($A33,'liste reference'!$B$7:$D$904,1,0)),"",VLOOKUP($A33,'liste reference'!$B$7:$D$904,1,0)),VLOOKUP($A33,'liste reference'!$A$7:$D$904,2,0))</f>
        <v>Juncus sp.</v>
      </c>
      <c r="E33" s="496" t="e">
        <f aca="false">IF(D33="",0,VLOOKUP(D33,D$22:D32,1,0))</f>
        <v>#N/A</v>
      </c>
      <c r="F33" s="497" t="n">
        <f aca="false">($B33*$B$7+$C33*$C$7)/100</f>
        <v>0.00125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Juncus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1606</v>
      </c>
      <c r="Q33" s="486" t="n">
        <f aca="false">IF(ISTEXT(H33),"",(B33*$B$7/100)+(C33*$C$7/100))</f>
        <v>0.00125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JUNSPX</v>
      </c>
      <c r="Z33" s="280" t="n">
        <f aca="false">IF(ISERROR(MATCH(A33,'liste reference'!$A$8:$A$904,0)),IF(ISERROR(MATCH(A33,'liste reference'!$B$8:$B$904,0)),"",(MATCH(A33,'liste reference'!$B$8:$B$904,0))),(MATCH(A33,'liste reference'!$A$8:$A$904,0)))</f>
        <v>590</v>
      </c>
      <c r="AA33" s="491"/>
      <c r="AB33" s="492"/>
      <c r="AC33" s="492"/>
      <c r="BB33" s="280" t="n">
        <f aca="false">IF(A33="","",1)</f>
        <v>1</v>
      </c>
    </row>
    <row r="34" customFormat="false" ht="12.75" hidden="false" customHeight="false" outlineLevel="0" collapsed="false">
      <c r="A34" s="493" t="s">
        <v>1936</v>
      </c>
      <c r="B34" s="494" t="n">
        <v>0.08</v>
      </c>
      <c r="C34" s="495" t="n">
        <v>0.05</v>
      </c>
      <c r="D34" s="477" t="str">
        <f aca="false">IF(ISERROR(VLOOKUP($A34,'liste reference'!$A$7:$D$904,2,0)),IF(ISERROR(VLOOKUP($A34,'liste reference'!$B$7:$D$904,1,0)),"",VLOOKUP($A34,'liste reference'!$B$7:$D$904,1,0)),VLOOKUP($A34,'liste reference'!$A$7:$D$904,2,0))</f>
        <v>Mentha aquatica</v>
      </c>
      <c r="E34" s="496" t="e">
        <f aca="false">IF(D34="",0,VLOOKUP(D34,D$22:D33,1,0))</f>
        <v>#N/A</v>
      </c>
      <c r="F34" s="501" t="n">
        <f aca="false">($B34*$B$7+$C34*$C$7)/100</f>
        <v>0.0725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Mentha aquatica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1791</v>
      </c>
      <c r="Q34" s="486" t="n">
        <f aca="false">IF(ISTEXT(H34),"",(B34*$B$7/100)+(C34*$C$7/100))</f>
        <v>0.0725</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500"/>
      <c r="Y34" s="490" t="str">
        <f aca="false">IF(A34="new.cod","NEWCOD",IF(AND((Z34=""),ISTEXT(A34)),A34,IF(Z34="","",INDEX('liste reference'!$A$8:$A$904,Z34))))</f>
        <v>MENAQU</v>
      </c>
      <c r="Z34" s="280" t="n">
        <f aca="false">IF(ISERROR(MATCH(A34,'liste reference'!$A$8:$A$904,0)),IF(ISERROR(MATCH(A34,'liste reference'!$B$8:$B$904,0)),"",(MATCH(A34,'liste reference'!$B$8:$B$904,0))),(MATCH(A34,'liste reference'!$A$8:$A$904,0)))</f>
        <v>607</v>
      </c>
      <c r="AA34" s="491"/>
      <c r="AB34" s="492"/>
      <c r="AC34" s="492"/>
      <c r="BB34" s="280" t="n">
        <f aca="false">IF(A34="","",1)</f>
        <v>1</v>
      </c>
    </row>
    <row r="35" customFormat="false" ht="12.75" hidden="false" customHeight="false" outlineLevel="0" collapsed="false">
      <c r="A35" s="493" t="s">
        <v>2109</v>
      </c>
      <c r="B35" s="494"/>
      <c r="C35" s="495" t="n">
        <v>0.005</v>
      </c>
      <c r="D35" s="477" t="str">
        <f aca="false">IF(ISERROR(VLOOKUP($A35,'liste reference'!$A$7:$D$904,2,0)),IF(ISERROR(VLOOKUP($A35,'liste reference'!$B$7:$D$904,1,0)),"",VLOOKUP($A35,'liste reference'!$B$7:$D$904,1,0)),VLOOKUP($A35,'liste reference'!$A$7:$D$904,2,0))</f>
        <v>Veronica anagallis-aquatica</v>
      </c>
      <c r="E35" s="496" t="e">
        <f aca="false">IF(D35="",0,VLOOKUP(D35,D$22:D34,1,0))</f>
        <v>#N/A</v>
      </c>
      <c r="F35" s="501" t="n">
        <f aca="false">($B35*$B$7+$C35*$C$7)/100</f>
        <v>0.00125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Veronica anagallis-aquatica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1955</v>
      </c>
      <c r="Q35" s="486" t="n">
        <f aca="false">IF(ISTEXT(H35),"",(B35*$B$7/100)+(C35*$C$7/100))</f>
        <v>0.00125</v>
      </c>
      <c r="R35" s="487" t="n">
        <f aca="false">IF(OR(ISTEXT(H35),Q35=0),"",IF(Q35&lt;0.1,1,IF(Q35&lt;1,2,IF(Q35&lt;10,3,IF(Q35&lt;50,4,IF(Q35&gt;=50,5,""))))))</f>
        <v>1</v>
      </c>
      <c r="S35" s="487" t="n">
        <f aca="false">IF(ISERROR(R35*I35),0,R35*I35)</f>
        <v>11</v>
      </c>
      <c r="T35" s="487" t="n">
        <f aca="false">IF(ISERROR(R35*I35*J35),0,R35*I35*J35)</f>
        <v>22</v>
      </c>
      <c r="U35" s="499" t="n">
        <f aca="false">IF(ISERROR(R35*J35),0,R35*J35)</f>
        <v>2</v>
      </c>
      <c r="V35" s="488" t="str">
        <f aca="false">IF(AND(A35="",F35=0),"",IF(F35=0,"Il manque le(s) % de rec. !",""))</f>
        <v/>
      </c>
      <c r="W35" s="500"/>
      <c r="Y35" s="490" t="str">
        <f aca="false">IF(A35="new.cod","NEWCOD",IF(AND((Z35=""),ISTEXT(A35)),A35,IF(Z35="","",INDEX('liste reference'!$A$8:$A$904,Z35))))</f>
        <v>VERANA</v>
      </c>
      <c r="Z35" s="280" t="n">
        <f aca="false">IF(ISERROR(MATCH(A35,'liste reference'!$A$8:$A$904,0)),IF(ISERROR(MATCH(A35,'liste reference'!$B$8:$B$904,0)),"",(MATCH(A35,'liste reference'!$B$8:$B$904,0))),(MATCH(A35,'liste reference'!$A$8:$A$904,0)))</f>
        <v>682</v>
      </c>
      <c r="AA35" s="491"/>
      <c r="AB35" s="492"/>
      <c r="AC35" s="492"/>
      <c r="BB35" s="280" t="n">
        <f aca="false">IF(A35="","",1)</f>
        <v>1</v>
      </c>
    </row>
    <row r="36" customFormat="false" ht="12.75" hidden="false" customHeight="false" outlineLevel="0" collapsed="false">
      <c r="A36" s="493" t="s">
        <v>2390</v>
      </c>
      <c r="B36" s="494" t="n">
        <v>0.005</v>
      </c>
      <c r="C36" s="495"/>
      <c r="D36" s="477" t="str">
        <f aca="false">IF(ISERROR(VLOOKUP($A36,'liste reference'!$A$7:$D$904,2,0)),IF(ISERROR(VLOOKUP($A36,'liste reference'!$B$7:$D$904,1,0)),"",VLOOKUP($A36,'liste reference'!$B$7:$D$904,1,0)),VLOOKUP($A36,'liste reference'!$A$7:$D$904,2,0))</f>
        <v>Ranunculus repens</v>
      </c>
      <c r="E36" s="496" t="e">
        <f aca="false">IF(D36="",0,VLOOKUP(D36,D$22:D35,1,0))</f>
        <v>#N/A</v>
      </c>
      <c r="F36" s="501" t="n">
        <f aca="false">($B36*$B$7+$C36*$C$7)/100</f>
        <v>0.00375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Ranunculus repens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1910</v>
      </c>
      <c r="Q36" s="486" t="n">
        <f aca="false">IF(ISTEXT(H36),"",(B36*$B$7/100)+(C36*$C$7/100))</f>
        <v>0.00375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RANREP</v>
      </c>
      <c r="Z36" s="280" t="n">
        <f aca="false">IF(ISERROR(MATCH(A36,'liste reference'!$A$8:$A$904,0)),IF(ISERROR(MATCH(A36,'liste reference'!$B$8:$B$904,0)),"",(MATCH(A36,'liste reference'!$B$8:$B$904,0))),(MATCH(A36,'liste reference'!$A$8:$A$904,0)))</f>
        <v>803</v>
      </c>
      <c r="AA36" s="491"/>
      <c r="AB36" s="492"/>
      <c r="AC36" s="492"/>
      <c r="BB36" s="280" t="n">
        <f aca="false">IF(A36="","",1)</f>
        <v>1</v>
      </c>
    </row>
    <row r="37" customFormat="false" ht="12.75" hidden="false" customHeight="false" outlineLevel="0" collapsed="false">
      <c r="A37" s="493" t="s">
        <v>2686</v>
      </c>
      <c r="B37" s="494"/>
      <c r="C37" s="495" t="n">
        <v>0.005</v>
      </c>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0.00125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Potentilla reptans</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X37" s="500"/>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t="s">
        <v>2686</v>
      </c>
      <c r="B38" s="494" t="n">
        <v>0.005</v>
      </c>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0.00375</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Leptolyngbya sp</v>
      </c>
      <c r="L38" s="498"/>
      <c r="M38" s="498"/>
      <c r="N38" s="498"/>
      <c r="O38" s="484" t="s">
        <v>2685</v>
      </c>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t="s">
        <v>2685</v>
      </c>
      <c r="AB38" s="492" t="s">
        <v>2688</v>
      </c>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CASALUNA</v>
      </c>
      <c r="B84" s="529" t="str">
        <f aca="false">C3</f>
        <v>Gavignano</v>
      </c>
      <c r="C84" s="530" t="n">
        <f aca="false">A4</f>
        <v>41444</v>
      </c>
      <c r="D84" s="531" t="n">
        <f aca="false">IF(ISERROR(SUM($T$23:$T$82)/SUM($U$23:$U$82)),"",SUM($T$23:$T$82)/SUM($U$23:$U$82))</f>
        <v>11.25</v>
      </c>
      <c r="E84" s="532" t="n">
        <f aca="false">N13</f>
        <v>16</v>
      </c>
      <c r="F84" s="529" t="n">
        <f aca="false">N14</f>
        <v>14</v>
      </c>
      <c r="G84" s="529" t="n">
        <f aca="false">N15</f>
        <v>8</v>
      </c>
      <c r="H84" s="529" t="n">
        <f aca="false">N16</f>
        <v>2</v>
      </c>
      <c r="I84" s="529" t="n">
        <f aca="false">N17</f>
        <v>1</v>
      </c>
      <c r="J84" s="533" t="n">
        <f aca="false">N8</f>
        <v>8.57142857142857</v>
      </c>
      <c r="K84" s="531" t="n">
        <f aca="false">N9</f>
        <v>4.92391083988974</v>
      </c>
      <c r="L84" s="532" t="n">
        <f aca="false">N10</f>
        <v>0</v>
      </c>
      <c r="M84" s="532" t="n">
        <f aca="false">N11</f>
        <v>15</v>
      </c>
      <c r="N84" s="531" t="n">
        <f aca="false">O8</f>
        <v>1.07142857142857</v>
      </c>
      <c r="O84" s="531" t="n">
        <f aca="false">O9</f>
        <v>0.798595706249925</v>
      </c>
      <c r="P84" s="532" t="n">
        <f aca="false">O10</f>
        <v>0</v>
      </c>
      <c r="Q84" s="532" t="n">
        <f aca="false">O11</f>
        <v>3</v>
      </c>
      <c r="R84" s="532" t="n">
        <f aca="false">F21</f>
        <v>0.71</v>
      </c>
      <c r="S84" s="532" t="n">
        <f aca="false">K11</f>
        <v>0</v>
      </c>
      <c r="T84" s="532" t="n">
        <f aca="false">K12</f>
        <v>6</v>
      </c>
      <c r="U84" s="532" t="n">
        <f aca="false">K13</f>
        <v>1</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15</v>
      </c>
      <c r="T87" s="280"/>
      <c r="U87" s="280"/>
      <c r="V87" s="280"/>
    </row>
    <row r="88" customFormat="false" ht="12.75" hidden="true" customHeight="false" outlineLevel="0" collapsed="false">
      <c r="P88" s="280"/>
      <c r="Q88" s="280" t="s">
        <v>2692</v>
      </c>
      <c r="R88" s="280"/>
      <c r="S88" s="488" t="n">
        <f aca="false">VLOOKUP((S87),($S$23:$U$82),2,0)</f>
        <v>30</v>
      </c>
      <c r="T88" s="280"/>
      <c r="U88" s="280"/>
      <c r="V88" s="280"/>
    </row>
    <row r="89" customFormat="false" ht="12.75" hidden="true" customHeight="false" outlineLevel="0" collapsed="false">
      <c r="Q89" s="280" t="s">
        <v>2693</v>
      </c>
      <c r="R89" s="280"/>
      <c r="S89" s="488" t="n">
        <f aca="false">VLOOKUP((S87),($S$23:$U$82),3,0)</f>
        <v>2</v>
      </c>
      <c r="T89" s="280"/>
    </row>
    <row r="90" customFormat="false" ht="12.75" hidden="false" customHeight="false" outlineLevel="0" collapsed="false">
      <c r="Q90" s="280" t="s">
        <v>2694</v>
      </c>
      <c r="R90" s="280"/>
      <c r="S90" s="538" t="n">
        <f aca="false">IF(ISERROR(SUM($T$23:$T$82)/SUM($U$23:$U$82)),"",(SUM($T$23:$T$82)-S88)/(SUM($U$23:$U$82)-S89))</f>
        <v>10.7142857142857</v>
      </c>
      <c r="T90" s="280"/>
    </row>
    <row r="91" customFormat="false" ht="12.75" hidden="false" customHeight="false" outlineLevel="0" collapsed="false">
      <c r="Q91" s="487" t="s">
        <v>2695</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2696</v>
      </c>
      <c r="R92" s="280"/>
      <c r="S92" s="280" t="n">
        <f aca="false">MATCH(S87,$S$23:$S$82,0)</f>
        <v>2</v>
      </c>
      <c r="T92" s="280"/>
    </row>
    <row r="93" customFormat="false" ht="12.75" hidden="false" customHeight="false" outlineLevel="0" collapsed="false">
      <c r="Q93" s="487" t="s">
        <v>2697</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2014-01-29T17:22:42Z</dcterms:modified>
  <cp:revision>0</cp:revision>
  <dc:subject/>
  <dc:title>Feuille d'aide au calcul de l'IBMR</dc:title>
</cp:coreProperties>
</file>