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evinco a Rutali" sheetId="6" state="visible" r:id="rId8"/>
    <sheet name="modele" sheetId="7" state="hidden" r:id="rId9"/>
    <sheet name="liste codes réf" sheetId="8" state="hidden" r:id="rId10"/>
  </sheets>
  <definedNames>
    <definedName function="false" hidden="false" localSheetId="5" name="_xlnm.Print_Area" vbProcedure="false">'Bevinco a Rutali'!$A$1:$O$82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'Bevinco a Rutali'!$A$23:$J$84</definedName>
    <definedName function="false" hidden="false" localSheetId="5" name="NOM" vbProcedure="false">'Bevinco a Rutali'!$H$1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<sst xmlns="http://schemas.openxmlformats.org/spreadsheetml/2006/main" count="7377" uniqueCount="3128">
  <si>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</si>
  <si>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</si>
  <si>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</si>
  <si>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</si>
  <si>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</si>
  <si>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</si>
  <si>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</si>
  <si>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</si>
  <si>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</si>
  <si>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</si>
  <si>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</si>
  <si>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</si>
  <si>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</si>
  <si>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</si>
  <si>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</si>
  <si>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</si>
  <si>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</si>
  <si>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</si>
  <si>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</si>
  <si>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</si>
  <si>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</si>
  <si>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</si>
  <si>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</si>
  <si>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</si>
  <si>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</si>
  <si>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</si>
  <si>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</si>
  <si>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</si>
  <si>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</si>
  <si>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</si>
  <si>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</si>
  <si>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</si>
  <si>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</si>
  <si>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</si>
  <si>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</si>
  <si>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</si>
  <si>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</si>
  <si>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</si>
  <si>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</si>
  <si>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</si>
  <si>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</si>
  <si>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</si>
  <si>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</si>
  <si>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</si>
  <si>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</si>
  <si>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</si>
  <si>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</si>
  <si>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</si>
  <si>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</si>
  <si>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</si>
  <si>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</si>
  <si>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</si>
  <si>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</si>
  <si>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</si>
  <si>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</si>
  <si>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</si>
  <si>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</si>
  <si>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</si>
  <si>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</si>
  <si>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</si>
  <si>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</si>
  <si>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</si>
  <si>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</si>
  <si>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</si>
  <si>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</si>
  <si>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</si>
  <si>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</si>
  <si>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</si>
  <si>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</si>
  <si>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</si>
  <si>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</si>
  <si>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</si>
  <si>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</si>
  <si>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</si>
  <si>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</si>
  <si>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</si>
  <si>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</si>
  <si>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</si>
  <si>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</si>
  <si>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</si>
  <si>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</si>
  <si>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</si>
  <si>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</si>
  <si>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</si>
  <si>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</si>
  <si>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</si>
  <si>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</si>
  <si>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</si>
  <si>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</si>
  <si>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</si>
  <si>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</si>
  <si>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</si>
  <si>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</si>
  <si>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</si>
  <si>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</si>
  <si>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</si>
  <si>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</si>
  <si>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</si>
  <si>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</si>
  <si>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</si>
  <si>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</si>
  <si>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</si>
  <si>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</si>
  <si>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</si>
  <si>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</si>
  <si>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</si>
  <si>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</si>
  <si>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</si>
  <si>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</si>
  <si>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</si>
  <si>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</si>
  <si>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</si>
  <si>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</si>
  <si>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</si>
  <si>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</si>
  <si>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</si>
  <si>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</si>
  <si>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</si>
  <si>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</si>
  <si>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</si>
  <si>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</si>
  <si>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</si>
  <si>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</si>
  <si>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</si>
  <si>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</si>
  <si>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</si>
  <si>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</si>
  <si>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</si>
  <si>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</si>
  <si>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</si>
  <si>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</si>
  <si>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</si>
  <si>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</si>
  <si>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</si>
  <si>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</si>
  <si>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</si>
  <si>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</si>
  <si>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</si>
  <si>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</si>
  <si>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</si>
  <si>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</si>
  <si>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</si>
  <si>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</si>
  <si>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</si>
  <si>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</si>
  <si>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</si>
  <si>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</si>
  <si>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</si>
  <si>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</si>
  <si>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</si>
  <si>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</si>
  <si>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</si>
  <si>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</si>
  <si>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</si>
  <si>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</si>
  <si>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</si>
  <si>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</si>
  <si>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</si>
  <si>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</si>
  <si>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</si>
  <si>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</si>
  <si>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</si>
  <si>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</si>
  <si>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</si>
  <si>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</si>
  <si>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</si>
  <si>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</si>
  <si>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</si>
  <si>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</si>
  <si>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</si>
  <si>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</si>
  <si>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</si>
  <si>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</si>
  <si>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</si>
  <si>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</si>
  <si>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</si>
  <si>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</si>
  <si>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</si>
  <si>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</si>
  <si>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</si>
  <si>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</si>
  <si>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</si>
  <si>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</si>
  <si>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</si>
  <si>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</si>
  <si>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</si>
  <si>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</si>
  <si>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</si>
  <si>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</si>
  <si>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</si>
  <si>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</si>
  <si>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</si>
  <si>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</si>
  <si>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</si>
  <si>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</si>
  <si>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</si>
  <si>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</si>
  <si>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</si>
  <si>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</si>
  <si>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</si>
  <si>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</si>
  <si>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</si>
  <si>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</si>
  <si>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</si>
  <si>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</si>
  <si>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</si>
  <si>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</si>
  <si>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</si>
  <si>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</si>
  <si>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</si>
  <si>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</si>
  <si>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</si>
  <si>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</si>
  <si>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</si>
  <si>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</si>
  <si>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</si>
  <si>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</si>
  <si>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</si>
  <si>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</si>
  <si>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</si>
  <si>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</si>
  <si>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</si>
  <si>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</si>
  <si>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</si>
  <si>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</si>
  <si>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</si>
  <si>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</si>
  <si>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</si>
  <si>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</si>
  <si>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</si>
  <si>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</si>
  <si>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</si>
  <si>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</si>
  <si>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</si>
  <si>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</si>
  <si>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</si>
  <si>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</si>
  <si>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</si>
  <si>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</si>
  <si>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</si>
  <si>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</si>
  <si>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</si>
  <si>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</si>
  <si>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</si>
  <si>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</si>
  <si>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</si>
  <si>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</si>
  <si>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</si>
  <si>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</si>
  <si>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</si>
  <si>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</si>
  <si>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</si>
  <si>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</si>
  <si>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</si>
  <si>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</si>
  <si>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</si>
  <si>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</si>
  <si>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</si>
  <si>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</si>
  <si>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</si>
  <si>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</si>
  <si>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</si>
  <si>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</si>
  <si>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</si>
  <si>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</si>
  <si>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</si>
  <si>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</si>
  <si>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</si>
  <si>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</si>
  <si>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</si>
  <si>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</si>
  <si>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</si>
  <si>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</si>
  <si>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</si>
  <si>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</si>
  <si>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</si>
  <si>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</si>
  <si>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</si>
  <si>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</si>
  <si>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</si>
  <si>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</si>
  <si>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</si>
  <si>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</si>
  <si>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</si>
  <si>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</si>
  <si>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</si>
  <si>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</si>
  <si>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</si>
  <si>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</si>
  <si>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</si>
  <si>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</si>
  <si>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</si>
  <si>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</si>
  <si>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</si>
  <si>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</si>
  <si>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</si>
  <si>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</si>
  <si>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</si>
  <si>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</si>
  <si>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</si>
  <si>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</si>
  <si>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</si>
  <si>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</si>
  <si>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</si>
  <si>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</si>
  <si>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</si>
  <si>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</si>
  <si>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</si>
  <si>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</si>
  <si>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</si>
  <si>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</si>
  <si>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</si>
  <si>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</si>
  <si>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</si>
  <si>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</si>
  <si>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</si>
  <si>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</si>
  <si>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</si>
  <si>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</si>
  <si>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</si>
  <si>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</si>
  <si>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</si>
  <si>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</si>
  <si>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</si>
  <si>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</si>
  <si>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</si>
  <si>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</si>
  <si>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</si>
  <si>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</si>
  <si>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</si>
  <si>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</si>
  <si>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</si>
  <si>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</si>
  <si>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</si>
  <si>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</si>
  <si>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</si>
  <si>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</si>
  <si>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</si>
  <si>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</si>
  <si>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</si>
  <si>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</si>
  <si>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</si>
  <si>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</si>
  <si>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</si>
  <si>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</si>
  <si>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</si>
  <si>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</si>
  <si>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</si>
  <si>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</si>
  <si>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</si>
  <si>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</si>
  <si>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</si>
  <si>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</si>
  <si>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</si>
  <si>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</si>
  <si>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</si>
  <si>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</si>
  <si>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</si>
  <si>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</si>
  <si>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</si>
  <si>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</si>
  <si>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</si>
  <si>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</si>
  <si>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</si>
  <si>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</si>
  <si>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</si>
  <si>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</si>
  <si>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</si>
  <si>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</si>
  <si>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</si>
  <si>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</si>
  <si>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</si>
  <si>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</si>
  <si>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</si>
  <si>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</si>
  <si>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</si>
  <si>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</si>
  <si>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</si>
  <si>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</si>
  <si>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</si>
  <si>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</si>
  <si>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</si>
  <si>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</si>
  <si>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</si>
  <si>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</si>
  <si>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</si>
  <si>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</si>
  <si>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</si>
  <si>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</si>
  <si>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</si>
  <si>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</si>
  <si>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</si>
  <si>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</si>
  <si>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</si>
  <si>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</si>
  <si>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</si>
  <si>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</si>
  <si>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</si>
  <si>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</si>
  <si>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</si>
  <si>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</si>
  <si>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</si>
  <si>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</si>
  <si>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</si>
  <si>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</si>
  <si>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</si>
  <si>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</si>
  <si>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</si>
  <si>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</si>
  <si>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</si>
  <si>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</si>
  <si>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</si>
  <si>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</si>
  <si>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</si>
  <si>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</si>
  <si>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</si>
  <si>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</si>
  <si>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</si>
  <si>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</si>
  <si>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</si>
  <si>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</si>
  <si>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</si>
  <si>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</si>
  <si>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</si>
  <si>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</si>
  <si>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</si>
  <si>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</si>
  <si>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</si>
  <si>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</si>
  <si>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</si>
  <si>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</si>
  <si>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</si>
  <si>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</si>
  <si>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</si>
  <si>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</si>
  <si>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</si>
  <si>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</si>
  <si>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</si>
  <si>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</si>
  <si>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</si>
  <si>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</si>
  <si>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</si>
  <si>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</si>
  <si>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</si>
  <si>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</si>
  <si>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</si>
  <si>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</si>
  <si>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</si>
  <si>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</si>
  <si>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</si>
  <si>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</si>
  <si>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</si>
  <si>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</si>
  <si>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</si>
  <si>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</si>
  <si>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</si>
  <si>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</si>
  <si>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</si>
  <si>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</si>
  <si>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</si>
  <si>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</si>
  <si>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</si>
  <si>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</si>
  <si>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</si>
  <si>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</si>
  <si>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</si>
  <si>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</si>
  <si>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</si>
  <si>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</si>
  <si>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</si>
  <si>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</si>
  <si>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</si>
  <si>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</si>
  <si>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</si>
  <si>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</si>
  <si>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</si>
  <si>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</si>
  <si>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</si>
  <si>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</si>
  <si>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</si>
  <si>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</si>
  <si>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</si>
  <si>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</si>
  <si>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</si>
  <si>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</si>
  <si>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</si>
  <si>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</si>
  <si>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</si>
  <si>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</si>
  <si>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</si>
  <si>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</si>
  <si>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</si>
  <si>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</si>
  <si>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</si>
  <si>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</si>
  <si>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</si>
  <si>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</si>
  <si>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</si>
  <si>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</si>
  <si>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</si>
  <si>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</si>
  <si>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</si>
  <si>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</si>
  <si>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</si>
  <si>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</si>
  <si>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</si>
  <si>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</si>
  <si>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</si>
  <si>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</si>
  <si>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</si>
  <si>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</si>
  <si>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</si>
  <si>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</si>
  <si>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</si>
  <si>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</si>
  <si>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</si>
  <si>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</si>
  <si>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</si>
  <si>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</si>
  <si>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</si>
  <si>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</si>
  <si>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</si>
  <si>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</si>
  <si>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</si>
  <si>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</si>
  <si>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</si>
  <si>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</si>
  <si>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</si>
  <si>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</si>
  <si>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</si>
  <si>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</si>
  <si>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</si>
  <si>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</si>
  <si>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</si>
  <si>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</si>
  <si>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</si>
  <si>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</si>
  <si>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</si>
  <si>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</si>
  <si>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</si>
  <si>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</si>
  <si>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</si>
  <si>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</si>
  <si>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</si>
  <si>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</si>
  <si>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</si>
  <si>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</si>
  <si>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</si>
  <si>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</si>
  <si>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</si>
  <si>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</si>
  <si>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</si>
  <si>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</si>
  <si>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</si>
  <si>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</si>
  <si>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</si>
  <si>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</si>
  <si>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</si>
  <si>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</si>
  <si>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</si>
  <si>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</si>
  <si>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</si>
  <si>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</si>
  <si>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</si>
  <si>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</si>
  <si>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</si>
  <si>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</si>
  <si>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</si>
  <si>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</si>
  <si>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</si>
  <si>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</si>
  <si>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</si>
  <si>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</si>
  <si>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</si>
  <si>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</si>
  <si>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</si>
  <si>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</si>
  <si>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</si>
  <si>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</si>
  <si>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</si>
  <si>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</si>
  <si>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</si>
  <si>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</si>
  <si>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</si>
  <si>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</si>
  <si>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</si>
  <si>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</si>
  <si>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</si>
  <si>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</si>
  <si>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</si>
  <si>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</si>
  <si>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</si>
  <si>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</si>
  <si>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</si>
  <si>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</si>
  <si>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</si>
  <si>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</si>
  <si>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</si>
  <si>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</si>
  <si>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</si>
  <si>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</si>
  <si>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</si>
  <si>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</si>
  <si>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</si>
  <si>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</si>
  <si>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</si>
  <si>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</si>
  <si>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</si>
  <si>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</si>
  <si>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</si>
  <si>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</si>
  <si>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</si>
  <si>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</si>
  <si>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</si>
  <si>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</si>
  <si>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</si>
  <si>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</si>
  <si>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</si>
  <si>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</si>
  <si>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</si>
  <si>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</si>
  <si>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</si>
  <si>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</si>
  <si>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</si>
  <si>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</si>
  <si>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</si>
  <si>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</si>
  <si>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</si>
  <si>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</si>
  <si>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</si>
  <si>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</si>
  <si>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</si>
  <si>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</si>
  <si>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</si>
  <si>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</si>
  <si>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</si>
  <si>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</si>
  <si>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</si>
  <si>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</si>
  <si>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</si>
  <si>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</si>
  <si>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</si>
  <si>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</si>
  <si>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</si>
  <si>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</si>
  <si>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</si>
  <si>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</si>
  <si>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</si>
  <si>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</si>
  <si>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</si>
  <si>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</si>
  <si>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</si>
  <si>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</si>
  <si>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</si>
  <si>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</si>
  <si>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</si>
  <si>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</si>
  <si>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</si>
  <si>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</si>
  <si>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</si>
  <si>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</si>
  <si>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</si>
  <si>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</si>
  <si>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</si>
  <si>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</si>
  <si>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</si>
  <si>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</si>
  <si>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</si>
  <si>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</si>
  <si>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</si>
  <si>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</si>
  <si>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</si>
  <si>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</si>
  <si>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</si>
  <si>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</si>
  <si>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</si>
  <si>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</si>
  <si>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</si>
  <si>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</si>
  <si>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</si>
  <si>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</si>
  <si>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</si>
  <si>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</si>
  <si>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</si>
  <si>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</si>
  <si>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</si>
  <si>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</si>
  <si>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</si>
  <si>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</si>
  <si>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</si>
  <si>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</si>
  <si>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</si>
  <si>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</si>
  <si>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</si>
  <si>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</si>
  <si>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</si>
  <si>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</si>
  <si>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</si>
  <si>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</si>
  <si>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</si>
  <si>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</si>
  <si>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</si>
  <si>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</si>
  <si>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</si>
  <si>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</si>
  <si>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</si>
  <si>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</si>
  <si>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</si>
  <si>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</si>
  <si>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</si>
  <si>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</si>
  <si>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</si>
  <si>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</si>
  <si>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</si>
  <si>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</si>
  <si>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</si>
  <si>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</si>
  <si>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</si>
  <si>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</si>
  <si>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</si>
  <si>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</si>
  <si>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</si>
  <si>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</si>
  <si>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</si>
  <si>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</si>
  <si>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</si>
  <si>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</si>
  <si>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</si>
  <si>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</si>
  <si>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</si>
  <si>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</si>
  <si>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</si>
  <si>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</si>
  <si>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</si>
  <si>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</si>
  <si>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</si>
  <si>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</si>
  <si>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</si>
  <si>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</si>
  <si>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</si>
  <si>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</si>
  <si>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</si>
  <si>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</si>
  <si>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</si>
  <si>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</si>
  <si>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</si>
  <si>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</si>
  <si>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</si>
  <si>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</si>
  <si>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</si>
  <si>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</si>
  <si>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</si>
  <si>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</si>
  <si>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</si>
  <si>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</si>
  <si>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</si>
  <si>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</si>
  <si>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</si>
  <si>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</si>
  <si>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</si>
  <si>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</si>
  <si>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</si>
  <si>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</si>
  <si>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</si>
  <si>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</si>
  <si>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</si>
  <si>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</si>
  <si>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</si>
  <si>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</si>
  <si>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</si>
  <si>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</si>
  <si>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</si>
  <si>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</si>
  <si>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</si>
  <si>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</si>
  <si>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</si>
  <si>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</si>
  <si>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</si>
  <si>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</si>
  <si>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</si>
  <si>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</si>
  <si>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</si>
  <si>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</si>
  <si>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</si>
  <si>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</si>
  <si>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</si>
  <si>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</si>
  <si>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</si>
  <si>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</si>
  <si>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</si>
  <si>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</si>
  <si>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</si>
  <si>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</si>
  <si>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</si>
  <si>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</si>
  <si>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</si>
  <si>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</si>
  <si>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</si>
  <si>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</si>
  <si>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</si>
  <si>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</si>
  <si>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</si>
  <si>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</si>
  <si>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</si>
  <si>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</si>
  <si>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</si>
  <si>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</si>
  <si>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</si>
  <si>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</si>
  <si>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</si>
  <si>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</si>
  <si>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</si>
  <si>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</si>
  <si>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</si>
  <si>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</si>
  <si>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</si>
  <si>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</si>
  <si>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</si>
  <si>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</si>
  <si>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</si>
  <si>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</si>
  <si>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</si>
  <si>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</si>
  <si>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</si>
  <si>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</si>
  <si>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</si>
  <si>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</si>
  <si>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</si>
  <si>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</si>
  <si>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</si>
  <si>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</si>
  <si>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</si>
  <si>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</si>
  <si>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</si>
  <si>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</si>
  <si>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</si>
  <si>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</si>
  <si>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</si>
  <si>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</si>
  <si>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</si>
  <si>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</si>
  <si>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</si>
  <si>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</si>
  <si>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</si>
  <si>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</si>
  <si>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</si>
  <si>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</si>
  <si>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</si>
  <si>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</si>
  <si>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</si>
  <si>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</si>
  <si>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</si>
  <si>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</si>
  <si>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</si>
  <si>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</si>
  <si>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</si>
  <si>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</si>
  <si>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</si>
  <si>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</si>
  <si>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</si>
  <si>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</si>
  <si>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</si>
  <si>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</si>
  <si>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</si>
  <si>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</si>
  <si>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</si>
  <si>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</si>
  <si>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</si>
  <si>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</si>
  <si>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</si>
  <si>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</si>
  <si>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</si>
  <si>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</si>
  <si>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</si>
  <si>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</si>
  <si>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</si>
  <si>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</si>
  <si>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</si>
  <si>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</si>
  <si>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</si>
  <si>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</si>
  <si>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</si>
  <si>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</si>
  <si>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</si>
  <si>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</si>
  <si>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</si>
  <si>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</si>
  <si>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</si>
  <si>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</si>
  <si>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</si>
  <si>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</si>
  <si>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</si>
  <si>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</si>
  <si>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</si>
  <si>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</si>
  <si>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</si>
  <si>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</si>
  <si>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</si>
  <si>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</si>
  <si>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</si>
  <si>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</si>
  <si>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</si>
  <si>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</si>
  <si>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</si>
  <si>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</si>
  <si>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</si>
  <si>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</si>
  <si>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</si>
  <si>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</si>
  <si>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</si>
  <si>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</si>
  <si>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</si>
  <si>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</si>
  <si>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</si>
  <si>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</si>
  <si>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</si>
  <si>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</si>
  <si>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</si>
  <si>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</si>
  <si>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</si>
  <si>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</si>
  <si>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</si>
  <si>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</si>
  <si>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</si>
  <si>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</si>
  <si>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</si>
  <si>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</si>
  <si>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</si>
  <si>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</si>
  <si>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</si>
  <si>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</si>
  <si>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</si>
  <si>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</si>
  <si>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</si>
  <si>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</si>
  <si>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</si>
  <si>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</si>
  <si>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</si>
  <si>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</si>
  <si>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</si>
  <si>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</si>
  <si>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</si>
  <si>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</si>
  <si>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</si>
  <si>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</si>
  <si>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</si>
  <si>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</si>
  <si>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</si>
  <si>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</si>
  <si>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</si>
  <si>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</si>
  <si>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</si>
  <si>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</si>
  <si>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</si>
  <si>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</si>
  <si>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</si>
  <si>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</si>
  <si>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</si>
  <si>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</si>
  <si>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</si>
  <si>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</si>
  <si>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</si>
  <si>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</si>
  <si>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</si>
  <si>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</si>
  <si>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</si>
  <si>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</si>
  <si>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</si>
  <si>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</si>
  <si>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</si>
  <si>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</si>
  <si>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</si>
  <si>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</si>
  <si>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</si>
  <si>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</si>
  <si>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</si>
  <si>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</si>
  <si>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</si>
  <si>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</si>
  <si>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</si>
  <si>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</si>
  <si>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</si>
  <si>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</si>
  <si>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</si>
  <si>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</si>
  <si>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</si>
  <si>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</si>
  <si>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</si>
  <si>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</si>
  <si>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</si>
  <si>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</si>
  <si>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</si>
  <si>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</si>
  <si>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</si>
  <si>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</si>
  <si>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</si>
  <si>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</si>
  <si>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</si>
  <si>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</si>
  <si>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</si>
  <si>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</si>
  <si>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</si>
  <si>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</si>
  <si>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</si>
  <si>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</si>
  <si>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</si>
  <si>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</si>
  <si>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</si>
  <si>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</si>
  <si>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</si>
  <si>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</si>
  <si>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</si>
  <si>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</si>
  <si>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</si>
  <si>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</si>
  <si>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</si>
  <si>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</si>
  <si>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</si>
  <si>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</si>
  <si>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</si>
  <si>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</si>
  <si>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</si>
  <si>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</si>
  <si>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</si>
  <si>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</si>
  <si>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</si>
  <si>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</si>
  <si>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</si>
  <si>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</si>
  <si>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</si>
  <si>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</si>
  <si>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</si>
  <si>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</si>
  <si>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</si>
  <si>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</si>
  <si>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</si>
  <si>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</si>
  <si>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</si>
  <si>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</si>
  <si>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</si>
  <si>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</si>
  <si>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</si>
  <si>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</si>
  <si>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</si>
  <si>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</si>
  <si>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</si>
  <si>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</si>
  <si>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</si>
  <si>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</si>
  <si>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</si>
  <si>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</si>
  <si>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</si>
  <si>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</si>
  <si>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</si>
  <si>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</si>
  <si>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</si>
  <si>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</si>
  <si>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</si>
  <si>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</si>
  <si>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</si>
  <si>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</si>
  <si>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</si>
  <si>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</si>
  <si>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</si>
  <si>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</si>
  <si>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</si>
  <si>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</si>
  <si>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</si>
  <si>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</si>
  <si>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</si>
  <si>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</si>
  <si>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</si>
  <si>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</si>
  <si>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</si>
  <si>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</si>
  <si>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</si>
  <si>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</si>
  <si>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</si>
  <si>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</si>
  <si>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</si>
  <si>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</si>
  <si>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</si>
  <si>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</si>
  <si>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</si>
  <si>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</si>
  <si>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</si>
  <si>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</si>
  <si>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</si>
  <si>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</si>
  <si>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</si>
  <si>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</si>
  <si>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</si>
  <si>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</si>
  <si>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</si>
  <si>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</si>
  <si>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</si>
  <si>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</si>
  <si>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</si>
  <si>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</si>
  <si>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</si>
  <si>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</si>
  <si>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</si>
  <si>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</si>
  <si>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</si>
  <si>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</si>
  <si>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</si>
  <si>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</si>
  <si>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</si>
  <si>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</si>
  <si>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</si>
  <si>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</si>
  <si>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</si>
  <si>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</si>
  <si>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</si>
  <si>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</si>
  <si>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</si>
  <si>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</si>
  <si>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</si>
  <si>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</si>
  <si>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</si>
  <si>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</si>
  <si>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</si>
  <si>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</si>
  <si>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</si>
  <si>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</si>
  <si>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</si>
  <si>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</si>
  <si>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</si>
  <si>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</si>
  <si>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</si>
  <si>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</si>
  <si>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</si>
  <si>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</si>
  <si>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</si>
  <si>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</si>
  <si>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</si>
  <si>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</si>
  <si>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</si>
  <si>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</si>
  <si>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</si>
  <si>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</si>
  <si>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</si>
  <si>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</si>
  <si>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</si>
  <si>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</si>
  <si>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</si>
  <si>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</si>
  <si>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</si>
  <si>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</si>
  <si>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</si>
  <si>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</si>
  <si>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</si>
  <si>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</si>
  <si>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</si>
  <si>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</si>
  <si>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</si>
  <si>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</si>
  <si>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</si>
  <si>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</si>
  <si>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</si>
  <si>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</si>
  <si>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</si>
  <si>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</si>
  <si>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</si>
  <si>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</si>
  <si>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</si>
  <si>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</si>
  <si>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</si>
  <si>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</si>
  <si>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</si>
  <si>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</si>
  <si>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</si>
  <si>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</si>
  <si>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</si>
  <si>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</si>
  <si>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</si>
  <si>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</si>
  <si>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</si>
  <si>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</si>
  <si>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</si>
  <si>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</si>
  <si>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</si>
  <si>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</si>
  <si>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</si>
  <si>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</si>
  <si>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</si>
  <si>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</si>
  <si>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</si>
  <si>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</si>
  <si>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</si>
  <si>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</si>
  <si>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</si>
  <si>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</si>
  <si>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</si>
  <si>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</si>
  <si>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</si>
  <si>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</si>
  <si>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</si>
  <si>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</si>
  <si>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</si>
  <si>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</si>
  <si>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</si>
  <si>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</si>
  <si>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</si>
  <si>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</si>
  <si>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</si>
  <si>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</si>
  <si>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</si>
  <si>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</si>
  <si>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</si>
  <si>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</si>
  <si>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</si>
  <si>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</si>
  <si>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</si>
  <si>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</si>
  <si>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</si>
  <si>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</si>
  <si>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</si>
  <si>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</si>
  <si>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</si>
  <si>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</si>
  <si>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</si>
  <si>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</si>
  <si>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</si>
  <si>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</si>
  <si>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</si>
  <si>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</si>
  <si>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</si>
  <si>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</si>
  <si>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</si>
  <si>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</si>
  <si>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</si>
  <si>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</si>
  <si>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</si>
  <si>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</si>
  <si>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</si>
  <si>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</si>
  <si>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</si>
  <si>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</si>
  <si>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</si>
  <si>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</si>
  <si>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</si>
  <si>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</si>
  <si>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</si>
  <si>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</si>
  <si>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</si>
  <si>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</si>
  <si>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</si>
  <si>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</si>
  <si>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</si>
  <si>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</si>
  <si>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</si>
  <si>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</si>
  <si>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</si>
  <si>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</si>
  <si>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</si>
  <si>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</si>
  <si>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</si>
  <si>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</si>
  <si>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</si>
  <si>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</si>
  <si>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</si>
  <si>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</si>
  <si>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</si>
  <si>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</si>
  <si>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</si>
  <si>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</si>
  <si>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</si>
  <si>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</si>
  <si>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</si>
  <si>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</si>
  <si>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</si>
  <si>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</si>
  <si>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</si>
  <si>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</si>
  <si>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</si>
  <si>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</si>
  <si>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</si>
  <si>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</si>
  <si>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</si>
  <si>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</si>
  <si>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</si>
  <si>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</si>
  <si>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</si>
  <si>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</si>
  <si>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</si>
  <si>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</si>
  <si>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</si>
  <si>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</si>
  <si>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</si>
  <si>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</si>
  <si>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</si>
  <si>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</si>
  <si>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</si>
  <si>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</si>
  <si>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</si>
  <si>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</si>
  <si>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</si>
  <si>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</si>
  <si>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</si>
  <si>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</si>
  <si>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</si>
  <si>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</si>
  <si>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</si>
  <si>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</si>
  <si>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</si>
  <si>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</si>
  <si>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</si>
  <si>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</si>
  <si>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</si>
  <si>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</si>
  <si>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</si>
  <si>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</si>
  <si>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</si>
  <si>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</si>
  <si>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</si>
  <si>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</si>
  <si>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</si>
  <si>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</si>
  <si>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</si>
  <si>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</si>
  <si>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</si>
  <si>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</si>
  <si>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</si>
  <si>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</si>
  <si>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</si>
  <si>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</si>
  <si>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</si>
  <si>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</si>
  <si>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</si>
  <si>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</si>
  <si>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</si>
  <si>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</si>
  <si>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</si>
  <si>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</si>
  <si>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</si>
  <si>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</si>
  <si>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</si>
  <si>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</si>
  <si>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</si>
  <si>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</si>
  <si>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</si>
  <si>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</si>
  <si>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</si>
  <si>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</si>
  <si>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</si>
  <si>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</si>
  <si>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</si>
  <si>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</si>
  <si>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</si>
  <si>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</si>
  <si>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</si>
  <si>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</si>
  <si>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</si>
  <si>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</si>
  <si>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</si>
  <si>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</si>
  <si>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</si>
  <si>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</si>
  <si>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</si>
  <si>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</si>
  <si>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</si>
  <si>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</si>
  <si>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</si>
  <si>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</si>
  <si>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</si>
  <si>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</si>
  <si>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</si>
  <si>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</si>
  <si>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</si>
  <si>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</si>
  <si>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</si>
  <si>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</si>
  <si>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</si>
  <si>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</si>
  <si>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</si>
  <si>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</si>
  <si>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</si>
  <si>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</si>
  <si>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</si>
  <si>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</si>
  <si>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</si>
  <si>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</si>
  <si>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</si>
  <si>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</si>
  <si>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</si>
  <si>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</si>
  <si>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</si>
  <si>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</si>
  <si>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</si>
  <si>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</si>
  <si>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</si>
  <si>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</si>
  <si>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</si>
  <si>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</si>
  <si>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</si>
  <si>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</si>
  <si>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</si>
  <si>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</si>
  <si>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</si>
  <si>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</si>
  <si>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</si>
  <si>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</si>
  <si>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</si>
  <si>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</si>
  <si>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</si>
  <si>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</si>
  <si>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</si>
  <si>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</si>
  <si>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</si>
  <si>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</si>
  <si>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</si>
  <si>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</si>
  <si>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</si>
  <si>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</si>
  <si>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</si>
  <si>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</si>
  <si>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</si>
  <si>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</si>
  <si>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</si>
  <si>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</si>
  <si>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</si>
  <si>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</si>
  <si>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</si>
  <si>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</si>
  <si>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</si>
  <si>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</si>
  <si>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</si>
  <si>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</si>
  <si>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</si>
  <si>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</si>
  <si>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</si>
  <si>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</si>
  <si>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</si>
  <si>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</si>
  <si>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</si>
  <si>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</si>
  <si>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</si>
  <si>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</si>
  <si>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</si>
  <si>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</si>
  <si>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</si>
  <si>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</si>
  <si>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</si>
  <si>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</si>
  <si>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</si>
  <si>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</si>
  <si>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</si>
  <si>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</si>
  <si>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</si>
  <si>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</si>
  <si>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</si>
  <si>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</si>
  <si>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</si>
  <si>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</si>
  <si>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</si>
  <si>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</si>
  <si>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</si>
  <si>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</si>
  <si>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</si>
  <si>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</si>
  <si>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</si>
  <si>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</si>
  <si>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</si>
  <si>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</si>
  <si>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</si>
  <si>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</si>
  <si>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</si>
  <si>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</si>
  <si>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</si>
  <si>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</si>
  <si>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</si>
  <si>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</si>
  <si>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</si>
  <si>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</si>
  <si>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</si>
  <si>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</si>
  <si>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</si>
  <si>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</si>
  <si>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</si>
  <si>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</si>
  <si>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</si>
  <si>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</si>
  <si>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</si>
  <si>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</si>
  <si>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</si>
  <si>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</si>
  <si>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</si>
  <si>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</si>
  <si>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</si>
  <si>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</si>
  <si>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</si>
  <si>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</si>
  <si>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</si>
  <si>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</si>
  <si>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</si>
  <si>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</si>
  <si>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</si>
  <si>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</si>
  <si>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</si>
  <si>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</si>
  <si>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</si>
  <si>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</si>
  <si>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</si>
  <si>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</si>
  <si>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</si>
  <si>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</si>
  <si>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</si>
  <si>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</si>
  <si>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</si>
  <si>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</si>
  <si>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</si>
  <si>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</si>
  <si>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</si>
  <si>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</si>
  <si>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</si>
  <si>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</si>
  <si>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</si>
  <si>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</si>
  <si>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</si>
  <si>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</si>
  <si>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</si>
  <si>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</si>
  <si>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</si>
  <si>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</si>
  <si>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</si>
  <si>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</si>
  <si>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</si>
  <si>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</si>
  <si>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</si>
  <si>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</si>
  <si>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</si>
  <si>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</si>
  <si>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</si>
  <si>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</si>
  <si>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</si>
  <si>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</si>
  <si>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</si>
  <si>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</si>
  <si>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</si>
  <si>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</si>
  <si>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</si>
  <si>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</si>
  <si>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</si>
  <si>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</si>
  <si>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</si>
  <si>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</si>
  <si>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</si>
  <si>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</si>
  <si>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</si>
  <si>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</si>
  <si>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</si>
  <si>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</si>
  <si>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</si>
  <si>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</si>
  <si>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</si>
  <si>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</si>
  <si>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</si>
  <si>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</si>
  <si>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</si>
  <si>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</si>
  <si>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</si>
  <si>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</si>
  <si>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</si>
  <si>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</si>
  <si>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</si>
  <si>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</si>
  <si>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</si>
  <si>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</si>
  <si>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</si>
  <si>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</si>
  <si>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</si>
  <si>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</si>
  <si>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</si>
  <si>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</si>
  <si>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</si>
  <si>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</si>
  <si>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</si>
  <si>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</si>
  <si>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</si>
  <si>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</si>
  <si>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</si>
  <si>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</si>
  <si>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</si>
  <si>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</si>
  <si>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</si>
  <si>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</si>
  <si>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</si>
  <si>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</si>
  <si>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</si>
  <si>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</si>
  <si>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</si>
  <si>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</si>
  <si>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</si>
  <si>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</si>
  <si>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</si>
  <si>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</si>
  <si>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</si>
  <si>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</si>
  <si>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</si>
  <si>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</si>
  <si>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</si>
  <si>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</si>
  <si>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</si>
  <si>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</si>
  <si>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</si>
  <si>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</si>
  <si>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</si>
  <si>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</si>
  <si>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</si>
  <si>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</si>
  <si>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</si>
  <si>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</si>
  <si>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</si>
  <si>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</si>
  <si>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</si>
  <si>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</si>
  <si>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</si>
  <si>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</si>
  <si>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</si>
  <si>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</si>
  <si>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</si>
  <si>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</si>
  <si>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</si>
  <si>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</si>
  <si>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</si>
  <si>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</si>
  <si>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</si>
  <si>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</si>
  <si>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</si>
  <si>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</si>
  <si>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</si>
  <si>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</si>
  <si>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</si>
  <si>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</si>
  <si>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</si>
  <si>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</si>
  <si>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</si>
  <si>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</si>
  <si>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</si>
  <si>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</si>
  <si>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</si>
  <si>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</si>
  <si>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</si>
  <si>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</si>
  <si>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</si>
  <si>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</si>
  <si>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</si>
  <si>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</si>
  <si>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</si>
  <si>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</si>
  <si>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</si>
  <si>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</si>
  <si>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</si>
  <si>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</si>
  <si>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</si>
  <si>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</si>
  <si>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</si>
  <si>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</si>
  <si>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</si>
  <si>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</si>
  <si>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</si>
  <si>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</si>
  <si>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</si>
  <si>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</si>
  <si>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</si>
  <si>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</si>
  <si>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</si>
  <si>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</si>
  <si>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</si>
  <si>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</si>
  <si>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</si>
  <si>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</si>
  <si>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</si>
  <si>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</si>
  <si>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</si>
  <si>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</si>
  <si>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</si>
  <si>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</si>
  <si>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</si>
  <si>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</si>
  <si>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</si>
  <si>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</si>
  <si>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</si>
  <si>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</si>
  <si>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</si>
  <si>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</si>
  <si>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</si>
  <si>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</si>
  <si>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</si>
  <si>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</si>
  <si>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</si>
  <si>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</si>
  <si>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</si>
  <si>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</si>
  <si>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</si>
  <si>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</si>
  <si>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</si>
  <si>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</si>
  <si>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</si>
  <si>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</si>
  <si>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</si>
  <si>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</si>
  <si>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</si>
  <si>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</si>
  <si>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</si>
  <si>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</si>
  <si>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</si>
  <si>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</si>
  <si>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</si>
  <si>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</si>
  <si>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</si>
  <si>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</si>
  <si>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</si>
  <si>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</si>
  <si>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</si>
  <si>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</si>
  <si>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</si>
  <si>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</si>
  <si>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</si>
  <si>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</si>
  <si>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</si>
  <si>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</si>
  <si>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</si>
  <si>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</si>
  <si>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</si>
  <si>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</si>
  <si>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</si>
  <si>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</si>
  <si>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</si>
  <si>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</si>
  <si>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</si>
  <si>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</si>
  <si>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</si>
  <si>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</si>
  <si>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</si>
  <si>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</si>
  <si>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</si>
  <si>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</si>
  <si>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</si>
  <si>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</si>
  <si>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</si>
  <si>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</si>
  <si>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</si>
  <si>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</si>
  <si>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</si>
  <si>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</si>
  <si>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</si>
  <si>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</si>
  <si>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</si>
  <si>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</si>
  <si>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</si>
  <si>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</si>
  <si>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</si>
  <si>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</si>
  <si>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</si>
  <si>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</si>
  <si>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</si>
  <si>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</si>
  <si>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</si>
  <si>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</si>
  <si>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</si>
  <si>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</si>
  <si>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</si>
  <si>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</si>
  <si>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</si>
  <si>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</si>
  <si>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</si>
  <si>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</si>
  <si>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</si>
  <si>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</si>
  <si>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</si>
  <si>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</si>
  <si>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</si>
  <si>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</si>
  <si>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</si>
  <si>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</si>
  <si>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</si>
  <si>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</si>
  <si>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</si>
  <si>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</si>
  <si>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</si>
  <si>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</si>
  <si>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</si>
  <si>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</si>
  <si>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</si>
  <si>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</si>
  <si>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</si>
  <si>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</si>
  <si>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</si>
  <si>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</si>
  <si>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</si>
  <si>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</si>
  <si>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</si>
  <si>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</si>
  <si>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</si>
  <si>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</si>
  <si>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</si>
  <si>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</si>
  <si>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</si>
  <si>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</si>
  <si>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</si>
  <si>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</si>
  <si>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</si>
  <si>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</si>
  <si>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</si>
  <si>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</si>
  <si>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</si>
  <si>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</si>
  <si>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</si>
  <si>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</si>
  <si>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</si>
  <si>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</si>
  <si>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</si>
  <si>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</si>
  <si>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</si>
  <si>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</si>
  <si>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</si>
  <si>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</si>
  <si>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</si>
  <si>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</si>
  <si>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</si>
  <si>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</si>
  <si>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</si>
  <si>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</si>
  <si>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</si>
  <si>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</si>
  <si>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</si>
  <si>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</si>
  <si>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</si>
  <si>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</si>
  <si>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</si>
  <si>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</si>
  <si>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</si>
  <si>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</si>
  <si>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</si>
  <si>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</si>
  <si>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</si>
  <si>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</si>
  <si>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</si>
  <si>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</si>
  <si>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</si>
  <si>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</si>
  <si>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</si>
  <si>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</si>
  <si>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</si>
  <si>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</si>
  <si>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</si>
  <si>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</si>
  <si>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</si>
  <si>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</si>
  <si>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</si>
  <si>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</si>
  <si>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</si>
  <si>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</si>
  <si>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</si>
  <si>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</si>
  <si>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</si>
  <si>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</si>
  <si>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</si>
  <si>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</si>
  <si>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</si>
  <si>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</si>
  <si>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</si>
  <si>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</si>
  <si>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</si>
  <si>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</si>
  <si>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</si>
  <si>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</si>
  <si>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</si>
  <si>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</si>
  <si>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</si>
  <si>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</si>
  <si>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</si>
  <si>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</si>
  <si>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</si>
  <si>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</si>
  <si>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</si>
  <si>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</si>
  <si>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</si>
  <si>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</si>
  <si>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</si>
  <si>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</si>
  <si>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</si>
  <si>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</si>
  <si>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</si>
  <si>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</si>
  <si>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</si>
  <si>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</si>
  <si>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</si>
  <si>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</si>
  <si>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</si>
  <si>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</si>
  <si>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</si>
  <si>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</si>
  <si>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</si>
  <si>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</si>
  <si>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</si>
  <si>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</si>
  <si>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</si>
  <si>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</si>
  <si>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</si>
  <si>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</si>
  <si>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</si>
  <si>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</si>
  <si>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</si>
  <si>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</si>
  <si>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</si>
  <si>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</si>
  <si>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</si>
  <si>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</si>
  <si>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</si>
  <si>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</si>
  <si>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</si>
  <si>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</si>
  <si>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</si>
  <si>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</si>
  <si>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</si>
  <si>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</si>
  <si>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</si>
  <si>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</si>
  <si>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</si>
  <si>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</si>
  <si>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</si>
  <si>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</si>
  <si>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</si>
  <si>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</si>
  <si>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</si>
  <si>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</si>
  <si>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</si>
  <si>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</si>
  <si>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</si>
  <si>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</si>
  <si>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</si>
  <si>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</si>
  <si>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</si>
  <si>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</si>
  <si>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</si>
  <si>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</si>
  <si>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</si>
  <si>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</si>
  <si>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</si>
  <si>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</si>
  <si>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</si>
  <si>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</si>
  <si>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</si>
  <si>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</si>
  <si>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</si>
  <si>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</si>
  <si>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</si>
  <si>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</si>
  <si>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</si>
  <si>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</si>
  <si>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</si>
  <si>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</si>
  <si>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</si>
  <si>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</si>
  <si>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</si>
  <si>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</si>
  <si>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</si>
  <si>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</si>
  <si>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</si>
  <si>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</si>
  <si>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</si>
  <si>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</si>
  <si>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</si>
  <si>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</si>
  <si>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</si>
  <si>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</si>
  <si>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</si>
  <si>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</si>
  <si>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</si>
  <si>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</si>
  <si>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</si>
  <si>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</si>
  <si>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</si>
  <si>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</si>
  <si>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</si>
  <si>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</si>
  <si>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</si>
  <si>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</si>
  <si>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</si>
  <si>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</si>
  <si>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</si>
  <si>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</si>
  <si>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</si>
  <si>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</si>
  <si>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</si>
  <si>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</si>
  <si>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</si>
  <si>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</si>
  <si>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</si>
  <si>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</si>
  <si>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</si>
  <si>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</si>
  <si>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</si>
  <si>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</si>
  <si>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</si>
  <si>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</si>
  <si>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</si>
  <si>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</si>
  <si>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</si>
  <si>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</si>
  <si>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</si>
  <si>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</si>
  <si>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</si>
  <si>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</si>
  <si>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</si>
  <si>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</si>
  <si>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</si>
  <si>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</si>
  <si>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</si>
  <si>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</si>
  <si>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</si>
  <si>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</si>
  <si>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</si>
  <si>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</si>
  <si>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</si>
  <si>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</si>
  <si>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</si>
  <si>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</si>
  <si>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</si>
  <si>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</si>
  <si>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</si>
  <si>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</si>
  <si>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</si>
  <si>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</si>
  <si>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</si>
  <si>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</si>
  <si>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</si>
  <si>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</si>
  <si>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</si>
  <si>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</si>
  <si>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</si>
  <si>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</si>
  <si>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</si>
  <si>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</si>
  <si>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</si>
  <si>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</si>
  <si>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</si>
  <si>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</si>
  <si>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</si>
  <si>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</si>
  <si>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</si>
  <si>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</si>
  <si>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</si>
  <si>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</si>
  <si>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</si>
  <si>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</si>
  <si>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</si>
  <si>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</si>
  <si>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</si>
  <si>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</si>
  <si>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</si>
  <si>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</si>
  <si>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</si>
  <si>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</si>
  <si>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</si>
  <si>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</si>
  <si>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</si>
  <si>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</si>
  <si>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</si>
  <si>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</si>
  <si>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</si>
  <si>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</si>
  <si>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</si>
  <si>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</si>
  <si>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</si>
  <si>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</si>
  <si>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</si>
  <si>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</si>
  <si>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</si>
  <si>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</si>
  <si>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</si>
  <si>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</si>
  <si>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</si>
  <si>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</si>
  <si>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</si>
  <si>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</si>
  <si>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</si>
  <si>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</si>
  <si>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</si>
  <si>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</si>
  <si>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</si>
  <si>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</si>
  <si>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</si>
  <si>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</si>
  <si>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</si>
  <si>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</si>
  <si>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</si>
  <si>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</si>
  <si>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</si>
  <si>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</si>
  <si>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</si>
  <si>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</si>
  <si>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</si>
  <si>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</si>
  <si>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</si>
  <si>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</si>
  <si>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</si>
  <si>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</si>
  <si>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</si>
  <si>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</si>
  <si>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</si>
  <si>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</si>
  <si>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</si>
  <si>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</si>
  <si>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</si>
  <si>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</si>
  <si>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</si>
  <si>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</si>
  <si>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</si>
  <si>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</si>
  <si>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</si>
  <si>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</si>
  <si>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</si>
  <si>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</si>
  <si>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</si>
  <si>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</si>
  <si>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</si>
  <si>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</si>
  <si>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</si>
  <si>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</si>
  <si>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</si>
  <si>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</si>
  <si>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</si>
  <si>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</si>
  <si>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</si>
  <si>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</si>
  <si>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</si>
  <si>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</si>
  <si>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</si>
  <si>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</si>
  <si>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</si>
  <si>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</si>
  <si>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</si>
  <si>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</si>
  <si>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</si>
  <si>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</si>
  <si>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</si>
  <si>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</si>
  <si>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</si>
  <si>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</si>
  <si>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</si>
  <si>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</si>
  <si>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</si>
  <si>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</si>
  <si>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</si>
  <si>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</si>
  <si>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</si>
  <si>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</si>
  <si>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</si>
  <si>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</si>
  <si>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</si>
  <si>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</si>
  <si>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</si>
  <si>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</si>
  <si>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</si>
  <si>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</si>
  <si>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</si>
  <si>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</si>
  <si>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</si>
  <si>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</si>
  <si>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</si>
  <si>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</si>
  <si>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</si>
  <si>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</si>
  <si>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</si>
  <si>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</si>
  <si>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</si>
  <si>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</si>
  <si>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</si>
  <si>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</si>
  <si>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</si>
  <si>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</si>
  <si>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</si>
  <si>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</si>
  <si>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</si>
  <si>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</si>
  <si>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</si>
  <si>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</si>
  <si>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</si>
  <si>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</si>
  <si>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</si>
  <si>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</si>
  <si>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</si>
  <si>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</si>
  <si>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</si>
  <si>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</si>
  <si>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</si>
  <si>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</si>
  <si>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</si>
  <si>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</si>
  <si>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</si>
  <si>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</si>
  <si>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</si>
  <si>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</si>
  <si>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</si>
  <si>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</si>
  <si>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</si>
  <si>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</si>
  <si>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</si>
  <si>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</si>
  <si>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</si>
  <si>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</si>
  <si>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</si>
  <si>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</si>
  <si>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</si>
  <si>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</si>
  <si>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</si>
  <si>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</si>
  <si>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</si>
  <si>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</si>
  <si>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</si>
  <si>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</si>
  <si>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</si>
  <si>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</si>
  <si>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</si>
  <si>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</si>
  <si>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</si>
  <si>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</si>
  <si>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</si>
  <si>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</si>
  <si>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</si>
  <si>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</si>
  <si>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</si>
  <si>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</si>
  <si>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</si>
  <si>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</si>
  <si>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</si>
  <si>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</si>
  <si>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</si>
  <si>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</si>
  <si>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</si>
  <si>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</si>
  <si>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</si>
  <si>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</si>
  <si>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</si>
  <si>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</si>
  <si>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</si>
  <si>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</si>
  <si>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</si>
  <si>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</si>
  <si>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</si>
  <si>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</si>
  <si>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</si>
  <si>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</si>
  <si>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</si>
  <si>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</si>
  <si>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</si>
  <si>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</si>
  <si>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</si>
  <si>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</si>
  <si>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</si>
  <si>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</si>
  <si>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</si>
  <si>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</si>
  <si>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</si>
  <si>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</si>
  <si>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</si>
  <si>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</si>
  <si>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</si>
  <si>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</si>
  <si>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</si>
  <si>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</si>
  <si>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</si>
  <si>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</si>
  <si>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</si>
  <si>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</si>
  <si>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</si>
  <si>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</si>
  <si>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</si>
  <si>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</si>
  <si>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</si>
  <si>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</si>
  <si>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</si>
  <si>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</si>
  <si>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</si>
  <si>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</si>
  <si>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</si>
  <si>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</si>
  <si>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</si>
  <si>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</si>
  <si>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</si>
  <si>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</si>
  <si>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</si>
  <si>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</si>
  <si>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</si>
  <si>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</si>
  <si>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</si>
  <si>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</si>
  <si>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</si>
  <si>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</si>
  <si>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</si>
  <si>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</si>
  <si>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</si>
  <si>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</si>
  <si>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</si>
  <si>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</si>
  <si>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</si>
  <si>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</si>
  <si>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</si>
  <si>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</si>
  <si>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</si>
  <si>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</si>
  <si>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</si>
  <si>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</si>
  <si>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</si>
  <si>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</si>
  <si>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</si>
  <si>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</si>
  <si>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</si>
  <si>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</si>
  <si>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</si>
  <si>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</si>
  <si>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</si>
  <si>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</si>
  <si>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</si>
  <si>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</si>
  <si>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</si>
  <si>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</si>
  <si>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</si>
  <si>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</si>
  <si>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</si>
  <si>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</si>
  <si>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</si>
  <si>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</si>
  <si>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</si>
  <si>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</si>
  <si>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</si>
  <si>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</si>
  <si>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</si>
  <si>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</si>
  <si>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</si>
  <si>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</si>
  <si>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</si>
  <si>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</si>
  <si>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</si>
  <si>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</si>
  <si>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</si>
  <si>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</si>
  <si>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</si>
  <si>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</si>
  <si>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</si>
  <si>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</si>
  <si>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</si>
  <si>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</si>
  <si>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</si>
  <si>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</si>
  <si>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</si>
  <si>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</si>
  <si>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</si>
  <si>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</si>
  <si>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</si>
  <si>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</si>
  <si>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</si>
  <si>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</si>
  <si>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</si>
  <si>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</si>
  <si>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</si>
  <si>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</si>
  <si>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</si>
  <si>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</si>
  <si>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</si>
  <si>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</si>
  <si>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</si>
  <si>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</si>
  <si>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</si>
  <si>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</si>
  <si>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</si>
  <si>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</si>
  <si>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</si>
  <si>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</si>
  <si>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</si>
  <si>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</si>
  <si>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</si>
  <si>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</si>
  <si>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</si>
  <si>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</si>
  <si>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</si>
  <si>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</si>
  <si>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</si>
  <si>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</si>
  <si>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</si>
  <si>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</si>
  <si>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</si>
  <si>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</si>
  <si>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</si>
  <si>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</si>
  <si>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</si>
  <si>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</si>
  <si>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</si>
  <si>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</si>
  <si>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</si>
  <si>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</si>
  <si>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</si>
  <si>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</si>
  <si>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</si>
  <si>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</si>
  <si>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</si>
  <si>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</si>
  <si>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</si>
  <si>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</si>
  <si>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</si>
  <si>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</si>
  <si>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</si>
  <si>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</si>
  <si>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</si>
  <si>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</si>
  <si>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</si>
  <si>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</si>
  <si>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</si>
  <si>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</si>
  <si>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</si>
  <si>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</si>
  <si>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</si>
  <si>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</si>
  <si>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</si>
  <si>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</si>
  <si>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</si>
  <si>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</si>
  <si>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</si>
  <si>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</si>
  <si>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</si>
  <si>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</si>
  <si>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</si>
  <si>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</si>
  <si>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</si>
  <si>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</si>
  <si>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</si>
  <si>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</si>
  <si>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</si>
  <si>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</si>
  <si>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</si>
  <si>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</si>
  <si>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</si>
  <si>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</si>
  <si>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</si>
  <si>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</si>
  <si>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</si>
  <si>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</si>
  <si>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</si>
  <si>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</si>
  <si>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</si>
  <si>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</si>
  <si>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</si>
  <si>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</si>
  <si>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</si>
  <si>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</si>
  <si>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</si>
  <si>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</si>
  <si>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</si>
  <si>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</si>
  <si>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</si>
  <si>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</si>
  <si>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</si>
  <si>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</si>
  <si>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</si>
  <si>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</si>
  <si>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</si>
  <si>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</si>
  <si>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</si>
  <si>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</si>
  <si>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</si>
  <si>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</si>
  <si>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</si>
  <si>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</si>
  <si>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</si>
  <si>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</si>
  <si>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</si>
  <si>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</si>
  <si>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</si>
  <si>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</si>
  <si>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</si>
  <si>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</si>
  <si>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</si>
  <si>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</si>
  <si>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</si>
  <si>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</si>
  <si>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</si>
  <si>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</si>
  <si>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</si>
  <si>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</si>
  <si>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</si>
  <si>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</si>
  <si>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</si>
  <si>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</si>
  <si>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</si>
  <si>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</si>
  <si>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</si>
  <si>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</si>
  <si>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</si>
  <si>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</si>
  <si>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</si>
  <si>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</si>
  <si>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</si>
  <si>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</si>
  <si>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</si>
  <si>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</si>
  <si>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</si>
  <si>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</si>
  <si>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</si>
  <si>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</si>
  <si>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</si>
  <si>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</si>
  <si>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</si>
  <si>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</si>
  <si>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</si>
  <si>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</si>
  <si>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</si>
  <si>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</si>
  <si>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</si>
  <si>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</si>
  <si>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</si>
  <si>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</si>
  <si>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</si>
  <si>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</si>
  <si>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</si>
  <si>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</si>
  <si>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</si>
  <si>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</si>
  <si>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</si>
  <si>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</si>
  <si>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</si>
  <si>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</si>
  <si>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</si>
  <si>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</si>
  <si>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</si>
  <si>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</si>
  <si>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</si>
  <si>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</si>
  <si>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</si>
  <si>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</si>
  <si>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</si>
  <si>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</si>
  <si>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</si>
  <si>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</si>
  <si>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</si>
  <si>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</si>
  <si>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</si>
  <si>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</si>
  <si>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</si>
  <si>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</si>
  <si>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</si>
  <si>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</si>
  <si>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</si>
  <si>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</si>
  <si>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</si>
  <si>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</si>
  <si>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</si>
  <si>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</si>
  <si>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</si>
  <si>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</si>
  <si>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</si>
  <si>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</si>
  <si>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</si>
  <si>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</si>
  <si>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</si>
  <si>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</si>
  <si>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</si>
  <si>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</si>
  <si>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</si>
  <si>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</si>
  <si>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</si>
  <si>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</si>
  <si>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</si>
  <si>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</si>
  <si>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</si>
  <si>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</si>
  <si>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</si>
  <si>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</si>
  <si>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</si>
  <si>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</si>
  <si>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</si>
  <si>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</si>
  <si>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</si>
  <si>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</si>
  <si>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</si>
  <si>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</si>
  <si>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</si>
  <si>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</si>
  <si>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</si>
  <si>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</si>
  <si>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</si>
  <si>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</si>
  <si>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</si>
  <si>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</si>
  <si>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</si>
  <si>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</si>
  <si>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</si>
  <si>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</si>
  <si>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</si>
  <si>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</si>
  <si>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</si>
  <si>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</si>
  <si>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</si>
  <si>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</si>
  <si>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</si>
  <si>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</si>
  <si>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</si>
  <si>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</si>
  <si>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</si>
  <si>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</si>
  <si>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</si>
  <si>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</si>
  <si>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</si>
  <si>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</si>
  <si>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</si>
  <si>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</si>
  <si>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</si>
  <si>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</si>
  <si>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</si>
  <si>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BOUCHAREYCHAS-Julie MIGAUD</t>
  </si>
  <si>
    <t xml:space="preserve">conforme AFNOR T90-395 oct. 2003</t>
  </si>
  <si>
    <t xml:space="preserve">BEVINCO</t>
  </si>
  <si>
    <t xml:space="preserve">Rutali</t>
  </si>
  <si>
    <t xml:space="preserve">06215000</t>
  </si>
  <si>
    <t xml:space="preserve">7178-Corse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</si>
  <si>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</si>
  <si>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</si>
  <si>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</si>
  <si>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</si>
  <si>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</si>
  <si>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</si>
  <si>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</si>
  <si>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</si>
  <si>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</si>
  <si>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</si>
  <si>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</si>
  <si>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</si>
  <si>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</si>
  <si>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</si>
  <si>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</si>
  <si>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</si>
  <si>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</si>
  <si>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</si>
  <si>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</si>
  <si>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</si>
  <si>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</si>
  <si>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</si>
  <si>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</si>
  <si>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</si>
  <si>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</si>
  <si>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</si>
  <si>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</si>
  <si>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</si>
  <si>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</si>
  <si>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</si>
  <si>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</si>
  <si>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</si>
  <si>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</si>
  <si>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</si>
  <si>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</si>
  <si>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</si>
  <si>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</si>
  <si>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</si>
  <si>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</si>
  <si>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</si>
  <si>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</si>
  <si>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</si>
  <si>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</si>
  <si>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</si>
  <si>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</si>
  <si>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</si>
  <si>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</si>
  <si>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</si>
  <si>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(9,677 %)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</si>
  <si>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</si>
  <si>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</si>
  <si>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</si>
  <si>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</si>
  <si>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</si>
  <si>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</si>
  <si>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</si>
  <si>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</si>
  <si>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</si>
  <si>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</si>
  <si>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</si>
  <si>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</si>
  <si>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</si>
  <si>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</si>
  <si>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</si>
  <si>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</si>
  <si>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</si>
  <si>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JUGEXE</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</si>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</sst>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41071</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12.5135135135135</v>
      </c>
      <c r="M5" s="293"/>
      <c r="N5" s="294"/>
      <c r="O5" s="295" t="n">
        <v>12.6129032258065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65</v>
      </c>
      <c r="C7" s="307" t="n">
        <v>35</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8.68421052631579</v>
      </c>
      <c r="O8" s="323" t="n">
        <f aca="false">AVERAGE(J23:J82)</f>
        <v>1.26315789473684</v>
      </c>
      <c r="P8" s="324"/>
      <c r="Q8" s="250"/>
      <c r="R8" s="250"/>
      <c r="S8" s="250"/>
      <c r="T8" s="250"/>
      <c r="U8" s="250"/>
      <c r="V8" s="250"/>
      <c r="W8" s="262"/>
      <c r="X8" s="263"/>
    </row>
    <row r="9" customFormat="false" ht="13.5" hidden="false" customHeight="false" outlineLevel="0" collapsed="false">
      <c r="A9" s="283" t="s">
        <v>2636</v>
      </c>
      <c r="B9" s="325" t="n">
        <v>10.1</v>
      </c>
      <c r="C9" s="326" t="n">
        <v>8.85</v>
      </c>
      <c r="D9" s="327"/>
      <c r="E9" s="327"/>
      <c r="F9" s="328" t="n">
        <f aca="false">($B9*$B$7+$C9*$C$7)/100</f>
        <v>9.6625</v>
      </c>
      <c r="G9" s="329"/>
      <c r="H9" s="330"/>
      <c r="I9" s="331"/>
      <c r="J9" s="332"/>
      <c r="K9" s="313"/>
      <c r="L9" s="333"/>
      <c r="M9" s="322" t="s">
        <v>2637</v>
      </c>
      <c r="N9" s="323" t="n">
        <f aca="false">STDEV(I23:I82)</f>
        <v>6.21872290907732</v>
      </c>
      <c r="O9" s="323" t="n">
        <f aca="false">STDEV(J23:J82)</f>
        <v>0.991189255566704</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9</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6</v>
      </c>
      <c r="L13" s="355"/>
      <c r="M13" s="366" t="s">
        <v>2648</v>
      </c>
      <c r="N13" s="367" t="n">
        <f aca="false">COUNTIF(F23:F82,"&gt;0")</f>
        <v>19</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19</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3</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6</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10.125</v>
      </c>
      <c r="C20" s="405" t="n">
        <f aca="false">SUM(C23:C82)</f>
        <v>8.845</v>
      </c>
      <c r="D20" s="406"/>
      <c r="E20" s="407" t="s">
        <v>2660</v>
      </c>
      <c r="F20" s="408" t="n">
        <f aca="false">($B20*$B$7+$C20*$C$7)/100</f>
        <v>9.677</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6.58125</v>
      </c>
      <c r="C21" s="418" t="n">
        <f aca="false">C20*C7/100</f>
        <v>3.09575</v>
      </c>
      <c r="D21" s="350" t="str">
        <f aca="false">IF(F21=0,"",IF((ABS(F21-F19))&gt;(0.2*F21),CONCATENATE(" rec. par taxa (",F21," %) supérieur à 20 % !"),""))</f>
        <v> rec. par taxa (9,677 %) supérieur à 20 % !</v>
      </c>
      <c r="E21" s="419" t="str">
        <f aca="false">IF(F21=0,"",IF((ABS(F21-F19))&gt;(0.2*F21),CONCATENATE("ATTENTION : écart entre rec. par grp (",F19," %) ","et",""),""))</f>
        <v>ATTENTION : écart entre rec. par grp (0 %) et</v>
      </c>
      <c r="F21" s="420" t="n">
        <f aca="false">B21+C21</f>
        <v>9.677</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0.1</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0.065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0.065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6.5</v>
      </c>
      <c r="C24" s="464" t="n">
        <v>4.7</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5.87</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5.87</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58"/>
      <c r="X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675</v>
      </c>
      <c r="B25" s="463" t="n">
        <v>1.25</v>
      </c>
      <c r="C25" s="464" t="n">
        <v>0.8</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1.0925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1.0925</v>
      </c>
      <c r="R25" s="456" t="n">
        <f aca="false">IF(OR(ISTEXT(H25),Q25=0),"",IF(Q25&lt;0.1,1,IF(Q25&lt;1,2,IF(Q25&lt;10,3,IF(Q25&lt;50,4,IF(Q25&gt;=50,5,""))))))</f>
        <v>3</v>
      </c>
      <c r="S25" s="456" t="n">
        <f aca="false">IF(ISERROR(R25*I25),0,R25*I25)</f>
        <v>36</v>
      </c>
      <c r="T25" s="456" t="n">
        <f aca="false">IF(ISERROR(R25*I25*J25),0,R25*I25*J25)</f>
        <v>72</v>
      </c>
      <c r="U25" s="470" t="n">
        <f aca="false">IF(ISERROR(R25*J25),0,R25*J25)</f>
        <v>6</v>
      </c>
      <c r="V25" s="457" t="n">
        <v>6</v>
      </c>
      <c r="W25" s="471"/>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1040</v>
      </c>
      <c r="B26" s="463" t="n">
        <v>0.2</v>
      </c>
      <c r="C26" s="464" t="n">
        <v>0.1</v>
      </c>
      <c r="D26" s="465" t="str">
        <f aca="false">IF(ISERROR(VLOOKUP($A26,'liste reference'!$A$7:$D$892,2,0)),IF(ISERROR(VLOOKUP($A26,'liste reference'!$B$7:$D$892,1,0)),"",VLOOKUP($A26,'liste reference'!$B$7:$D$892,1,0)),VLOOKUP($A26,'liste reference'!$A$7:$D$892,2,0))</f>
        <v>Hildenbrandia sp.</v>
      </c>
      <c r="E26" s="465" t="e">
        <f aca="false">IF(D26="",0,VLOOKUP(D26,D$22:D25,1,0))</f>
        <v>#N/A</v>
      </c>
      <c r="F26" s="466" t="n">
        <f aca="false">($B26*$B$7+$C26*$C$7)/100</f>
        <v>0.165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Hildenbrandia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1157</v>
      </c>
      <c r="Q26" s="455" t="n">
        <f aca="false">IF(ISTEXT(H26),"",(B26*$B$7/100)+(C26*$C$7/100))</f>
        <v>0.165</v>
      </c>
      <c r="R26" s="456" t="n">
        <f aca="false">IF(OR(ISTEXT(H26),Q26=0),"",IF(Q26&lt;0.1,1,IF(Q26&lt;1,2,IF(Q26&lt;10,3,IF(Q26&lt;50,4,IF(Q26&gt;=50,5,""))))))</f>
        <v>2</v>
      </c>
      <c r="S26" s="456" t="n">
        <f aca="false">IF(ISERROR(R26*I26),0,R26*I26)</f>
        <v>30</v>
      </c>
      <c r="T26" s="456" t="n">
        <f aca="false">IF(ISERROR(R26*I26*J26),0,R26*I26*J26)</f>
        <v>60</v>
      </c>
      <c r="U26" s="470" t="n">
        <f aca="false">IF(ISERROR(R26*J26),0,R26*J26)</f>
        <v>4</v>
      </c>
      <c r="V26" s="457" t="n">
        <v>4</v>
      </c>
      <c r="W26" s="458"/>
      <c r="Y26" s="459" t="str">
        <f aca="false">IF(A26="new.cod","NEWCOD",IF(AND((Z26=""),ISTEXT(A26)),A26,IF(Z26="","",INDEX('liste reference'!$A$7:$A$892,Z26))))</f>
        <v>HILSPX</v>
      </c>
      <c r="Z26" s="250" t="n">
        <f aca="false">IF(ISERROR(MATCH(A26,'liste reference'!$A$7:$A$892,0)),IF(ISERROR(MATCH(A26,'liste reference'!$B$7:$B$892,0)),"",(MATCH(A26,'liste reference'!$B$7:$B$892,0))),(MATCH(A26,'liste reference'!$A$7:$A$892,0)))</f>
        <v>333</v>
      </c>
      <c r="AA26" s="460"/>
      <c r="AB26" s="461"/>
      <c r="AC26" s="461"/>
      <c r="BC26" s="250" t="n">
        <f aca="false">IF(A26="","",1)</f>
        <v>1</v>
      </c>
    </row>
    <row r="27" customFormat="false" ht="12.75" hidden="false" customHeight="false" outlineLevel="0" collapsed="false">
      <c r="A27" s="462" t="s">
        <v>1263</v>
      </c>
      <c r="B27" s="463" t="n">
        <v>0.05</v>
      </c>
      <c r="C27" s="464"/>
      <c r="D27" s="465" t="str">
        <f aca="false">IF(ISERROR(VLOOKUP($A27,'liste reference'!$A$7:$D$892,2,0)),IF(ISERROR(VLOOKUP($A27,'liste reference'!$B$7:$D$892,1,0)),"",VLOOKUP($A27,'liste reference'!$B$7:$D$892,1,0)),VLOOKUP($A27,'liste reference'!$A$7:$D$892,2,0))</f>
        <v>Lemanea sp.</v>
      </c>
      <c r="E27" s="465" t="e">
        <f aca="false">IF(D27="",0,VLOOKUP(D27,D$22:D26,1,0))</f>
        <v>#N/A</v>
      </c>
      <c r="F27" s="466" t="n">
        <f aca="false">($B27*$B$7+$C27*$C$7)/100</f>
        <v>0.0325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15</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Lemanea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1159</v>
      </c>
      <c r="Q27" s="455" t="n">
        <f aca="false">IF(ISTEXT(H27),"",(B27*$B$7/100)+(C27*$C$7/100))</f>
        <v>0.0325</v>
      </c>
      <c r="R27" s="456" t="n">
        <f aca="false">IF(OR(ISTEXT(H27),Q27=0),"",IF(Q27&lt;0.1,1,IF(Q27&lt;1,2,IF(Q27&lt;10,3,IF(Q27&lt;50,4,IF(Q27&gt;=50,5,""))))))</f>
        <v>1</v>
      </c>
      <c r="S27" s="456" t="n">
        <f aca="false">IF(ISERROR(R27*I27),0,R27*I27)</f>
        <v>15</v>
      </c>
      <c r="T27" s="456" t="n">
        <f aca="false">IF(ISERROR(R27*I27*J27),0,R27*I27*J27)</f>
        <v>30</v>
      </c>
      <c r="U27" s="470" t="n">
        <f aca="false">IF(ISERROR(R27*J27),0,R27*J27)</f>
        <v>2</v>
      </c>
      <c r="V27" s="457" t="n">
        <v>2</v>
      </c>
      <c r="W27" s="458"/>
      <c r="Y27" s="459" t="str">
        <f aca="false">IF(A27="new.cod","NEWCOD",IF(AND((Z27=""),ISTEXT(A27)),A27,IF(Z27="","",INDEX('liste reference'!$A$7:$A$892,Z27))))</f>
        <v>LEASPX</v>
      </c>
      <c r="Z27" s="250" t="n">
        <f aca="false">IF(ISERROR(MATCH(A27,'liste reference'!$A$7:$A$892,0)),IF(ISERROR(MATCH(A27,'liste reference'!$B$7:$B$892,0)),"",(MATCH(A27,'liste reference'!$B$7:$B$892,0))),(MATCH(A27,'liste reference'!$A$7:$A$892,0)))</f>
        <v>407</v>
      </c>
      <c r="AA27" s="460"/>
      <c r="AB27" s="461"/>
      <c r="AC27" s="461"/>
      <c r="BC27" s="250" t="n">
        <f aca="false">IF(A27="","",1)</f>
        <v>1</v>
      </c>
    </row>
    <row r="28" customFormat="false" ht="12.75" hidden="false" customHeight="false" outlineLevel="0" collapsed="false">
      <c r="A28" s="462" t="s">
        <v>1408</v>
      </c>
      <c r="B28" s="463" t="n">
        <v>1.7</v>
      </c>
      <c r="C28" s="464" t="n">
        <v>3.1</v>
      </c>
      <c r="D28" s="465" t="str">
        <f aca="false">IF(ISERROR(VLOOKUP($A28,'liste reference'!$A$7:$D$892,2,0)),IF(ISERROR(VLOOKUP($A28,'liste reference'!$B$7:$D$892,1,0)),"",VLOOKUP($A28,'liste reference'!$B$7:$D$892,1,0)),VLOOKUP($A28,'liste reference'!$A$7:$D$892,2,0))</f>
        <v>Melosira sp.</v>
      </c>
      <c r="E28" s="465" t="e">
        <f aca="false">IF(D28="",0,VLOOKUP(D28,D$22:D27,1,0))</f>
        <v>#N/A</v>
      </c>
      <c r="F28" s="466" t="n">
        <f aca="false">($B28*$B$7+$C28*$C$7)/100</f>
        <v>2.19</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Melosira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8714</v>
      </c>
      <c r="Q28" s="455" t="n">
        <f aca="false">IF(ISTEXT(H28),"",(B28*$B$7/100)+(C28*$C$7/100))</f>
        <v>2.19</v>
      </c>
      <c r="R28" s="456" t="n">
        <f aca="false">IF(OR(ISTEXT(H28),Q28=0),"",IF(Q28&lt;0.1,1,IF(Q28&lt;1,2,IF(Q28&lt;10,3,IF(Q28&lt;50,4,IF(Q28&gt;=50,5,""))))))</f>
        <v>3</v>
      </c>
      <c r="S28" s="456" t="n">
        <f aca="false">IF(ISERROR(R28*I28),0,R28*I28)</f>
        <v>30</v>
      </c>
      <c r="T28" s="456" t="n">
        <f aca="false">IF(ISERROR(R28*I28*J28),0,R28*I28*J28)</f>
        <v>30</v>
      </c>
      <c r="U28" s="470" t="n">
        <f aca="false">IF(ISERROR(R28*J28),0,R28*J28)</f>
        <v>3</v>
      </c>
      <c r="V28" s="457" t="n">
        <v>3</v>
      </c>
      <c r="W28" s="458"/>
      <c r="Y28" s="459" t="str">
        <f aca="false">IF(A28="new.cod","NEWCOD",IF(AND((Z28=""),ISTEXT(A28)),A28,IF(Z28="","",INDEX('liste reference'!$A$7:$A$892,Z28))))</f>
        <v>MELSPX</v>
      </c>
      <c r="Z28" s="250" t="n">
        <f aca="false">IF(ISERROR(MATCH(A28,'liste reference'!$A$7:$A$892,0)),IF(ISERROR(MATCH(A28,'liste reference'!$B$7:$B$892,0)),"",(MATCH(A28,'liste reference'!$B$7:$B$892,0))),(MATCH(A28,'liste reference'!$A$7:$A$892,0)))</f>
        <v>457</v>
      </c>
      <c r="AA28" s="460"/>
      <c r="AB28" s="461"/>
      <c r="AC28" s="461"/>
      <c r="BC28" s="250" t="n">
        <f aca="false">IF(A28="","",1)</f>
        <v>1</v>
      </c>
    </row>
    <row r="29" customFormat="false" ht="12.75" hidden="false" customHeight="false" outlineLevel="0" collapsed="false">
      <c r="A29" s="462" t="s">
        <v>1594</v>
      </c>
      <c r="B29" s="463" t="n">
        <v>0.005</v>
      </c>
      <c r="C29" s="464"/>
      <c r="D29" s="465" t="str">
        <f aca="false">IF(ISERROR(VLOOKUP($A29,'liste reference'!$A$7:$D$892,2,0)),IF(ISERROR(VLOOKUP($A29,'liste reference'!$B$7:$D$892,1,0)),"",VLOOKUP($A29,'liste reference'!$B$7:$D$892,1,0)),VLOOKUP($A29,'liste reference'!$A$7:$D$892,2,0))</f>
        <v>Nostoc sp.</v>
      </c>
      <c r="E29" s="465" t="e">
        <f aca="false">IF(D29="",0,VLOOKUP(D29,D$22:D28,1,0))</f>
        <v>#N/A</v>
      </c>
      <c r="F29" s="466" t="n">
        <f aca="false">($B29*$B$7+$C29*$C$7)/100</f>
        <v>0.00325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9</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Nostoc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115</v>
      </c>
      <c r="Q29" s="455" t="n">
        <f aca="false">IF(ISTEXT(H29),"",(B29*$B$7/100)+(C29*$C$7/100))</f>
        <v>0.00325</v>
      </c>
      <c r="R29" s="456" t="n">
        <f aca="false">IF(OR(ISTEXT(H29),Q29=0),"",IF(Q29&lt;0.1,1,IF(Q29&lt;1,2,IF(Q29&lt;10,3,IF(Q29&lt;50,4,IF(Q29&gt;=50,5,""))))))</f>
        <v>1</v>
      </c>
      <c r="S29" s="456" t="n">
        <f aca="false">IF(ISERROR(R29*I29),0,R29*I29)</f>
        <v>9</v>
      </c>
      <c r="T29" s="456" t="n">
        <f aca="false">IF(ISERROR(R29*I29*J29),0,R29*I29*J29)</f>
        <v>9</v>
      </c>
      <c r="U29" s="470" t="n">
        <f aca="false">IF(ISERROR(R29*J29),0,R29*J29)</f>
        <v>1</v>
      </c>
      <c r="V29" s="457" t="n">
        <v>1</v>
      </c>
      <c r="W29" s="458"/>
      <c r="Y29" s="459" t="str">
        <f aca="false">IF(A29="new.cod","NEWCOD",IF(AND((Z29=""),ISTEXT(A29)),A29,IF(Z29="","",INDEX('liste reference'!$A$7:$A$892,Z29))))</f>
        <v>NOSSPX</v>
      </c>
      <c r="Z29" s="250" t="n">
        <f aca="false">IF(ISERROR(MATCH(A29,'liste reference'!$A$7:$A$892,0)),IF(ISERROR(MATCH(A29,'liste reference'!$B$7:$B$892,0)),"",(MATCH(A29,'liste reference'!$B$7:$B$892,0))),(MATCH(A29,'liste reference'!$A$7:$A$892,0)))</f>
        <v>526</v>
      </c>
      <c r="AA29" s="460"/>
      <c r="AB29" s="461"/>
      <c r="AC29" s="461"/>
      <c r="BC29" s="250" t="n">
        <f aca="false">IF(A29="","",1)</f>
        <v>1</v>
      </c>
    </row>
    <row r="30" customFormat="false" ht="12.75" hidden="false" customHeight="false" outlineLevel="0" collapsed="false">
      <c r="A30" s="462" t="s">
        <v>2304</v>
      </c>
      <c r="B30" s="463" t="n">
        <v>0.05</v>
      </c>
      <c r="C30" s="464"/>
      <c r="D30" s="465" t="str">
        <f aca="false">IF(ISERROR(VLOOKUP($A30,'liste reference'!$A$7:$D$892,2,0)),IF(ISERROR(VLOOKUP($A30,'liste reference'!$B$7:$D$892,1,0)),"",VLOOKUP($A30,'liste reference'!$B$7:$D$892,1,0)),VLOOKUP($A30,'liste reference'!$A$7:$D$892,2,0))</f>
        <v>Schizothrix sp.</v>
      </c>
      <c r="E30" s="465" t="e">
        <f aca="false">IF(D30="",0,VLOOKUP(D30,D$22:D29,1,0))</f>
        <v>#N/A</v>
      </c>
      <c r="F30" s="466" t="n">
        <f aca="false">($B30*$B$7+$C30*$C$7)/100</f>
        <v>0.0325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Schizothrix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6436</v>
      </c>
      <c r="Q30" s="455" t="n">
        <f aca="false">IF(ISTEXT(H30),"",(B30*$B$7/100)+(C30*$C$7/100))</f>
        <v>0.0325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SCZSPX</v>
      </c>
      <c r="Z30" s="250" t="n">
        <f aca="false">IF(ISERROR(MATCH(A30,'liste reference'!$A$7:$A$892,0)),IF(ISERROR(MATCH(A30,'liste reference'!$B$7:$B$892,0)),"",(MATCH(A30,'liste reference'!$B$7:$B$892,0))),(MATCH(A30,'liste reference'!$A$7:$A$892,0)))</f>
        <v>780</v>
      </c>
      <c r="AA30" s="460"/>
      <c r="AB30" s="461"/>
      <c r="AC30" s="461"/>
      <c r="BC30" s="250" t="n">
        <f aca="false">IF(A30="","",1)</f>
        <v>1</v>
      </c>
    </row>
    <row r="31" customFormat="false" ht="12.75" hidden="false" customHeight="false" outlineLevel="0" collapsed="false">
      <c r="A31" s="462" t="s">
        <v>2528</v>
      </c>
      <c r="B31" s="463" t="n">
        <v>0.005</v>
      </c>
      <c r="C31" s="464"/>
      <c r="D31" s="465" t="str">
        <f aca="false">IF(ISERROR(VLOOKUP($A31,'liste reference'!$A$7:$D$892,2,0)),IF(ISERROR(VLOOKUP($A31,'liste reference'!$B$7:$D$892,1,0)),"",VLOOKUP($A31,'liste reference'!$B$7:$D$892,1,0)),VLOOKUP($A31,'liste reference'!$A$7:$D$892,2,0))</f>
        <v>Vaucheria sp.</v>
      </c>
      <c r="E31" s="465" t="e">
        <f aca="false">IF(D31="",0,VLOOKUP(D31,D$22:D30,1,0))</f>
        <v>#N/A</v>
      </c>
      <c r="F31" s="466" t="n">
        <f aca="false">($B31*$B$7+$C31*$C$7)/100</f>
        <v>0.00325</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4</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Vaucheria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6193</v>
      </c>
      <c r="Q31" s="455" t="n">
        <f aca="false">IF(ISTEXT(H31),"",(B31*$B$7/100)+(C31*$C$7/100))</f>
        <v>0.00325</v>
      </c>
      <c r="R31" s="456" t="n">
        <f aca="false">IF(OR(ISTEXT(H31),Q31=0),"",IF(Q31&lt;0.1,1,IF(Q31&lt;1,2,IF(Q31&lt;10,3,IF(Q31&lt;50,4,IF(Q31&gt;=50,5,""))))))</f>
        <v>1</v>
      </c>
      <c r="S31" s="456" t="n">
        <f aca="false">IF(ISERROR(R31*I31),0,R31*I31)</f>
        <v>4</v>
      </c>
      <c r="T31" s="456" t="n">
        <f aca="false">IF(ISERROR(R31*I31*J31),0,R31*I31*J31)</f>
        <v>4</v>
      </c>
      <c r="U31" s="470" t="n">
        <f aca="false">IF(ISERROR(R31*J31),0,R31*J31)</f>
        <v>1</v>
      </c>
      <c r="V31" s="457" t="n">
        <v>1</v>
      </c>
      <c r="W31" s="458"/>
      <c r="Y31" s="459" t="str">
        <f aca="false">IF(A31="new.cod","NEWCOD",IF(AND((Z31=""),ISTEXT(A31)),A31,IF(Z31="","",INDEX('liste reference'!$A$7:$A$892,Z31))))</f>
        <v>VAUSPX</v>
      </c>
      <c r="Z31" s="250" t="n">
        <f aca="false">IF(ISERROR(MATCH(A31,'liste reference'!$A$7:$A$892,0)),IF(ISERROR(MATCH(A31,'liste reference'!$B$7:$B$892,0)),"",(MATCH(A31,'liste reference'!$B$7:$B$892,0))),(MATCH(A31,'liste reference'!$A$7:$A$892,0)))</f>
        <v>864</v>
      </c>
      <c r="AA31" s="460"/>
      <c r="AB31" s="461"/>
      <c r="AC31" s="461"/>
      <c r="BC31" s="250" t="n">
        <f aca="false">IF(A31="","",1)</f>
        <v>1</v>
      </c>
    </row>
    <row r="32" customFormat="false" ht="12.75" hidden="false" customHeight="false" outlineLevel="0" collapsed="false">
      <c r="A32" s="462" t="s">
        <v>2684</v>
      </c>
      <c r="B32" s="463" t="n">
        <v>0.005</v>
      </c>
      <c r="C32" s="464"/>
      <c r="D32" s="465" t="str">
        <f aca="false">IF(ISERROR(VLOOKUP($A32,'liste reference'!$A$7:$D$892,2,0)),IF(ISERROR(VLOOKUP($A32,'liste reference'!$B$7:$D$892,1,0)),"",VLOOKUP($A32,'liste reference'!$B$7:$D$892,1,0)),VLOOKUP($A32,'liste reference'!$A$7:$D$892,2,0))</f>
        <v>Jungermannia exsertifolia subsp. cordifolia</v>
      </c>
      <c r="E32" s="465" t="e">
        <f aca="false">IF(D32="",0,VLOOKUP(D32,D$22:D31,1,0))</f>
        <v>#N/A</v>
      </c>
      <c r="F32" s="466" t="n">
        <f aca="false">($B32*$B$7+$C32*$C$7)/100</f>
        <v>0.00325</v>
      </c>
      <c r="G32" s="467" t="str">
        <f aca="false">IF(A32="","",IF(ISERROR(VLOOKUP($A32,'liste reference'!$A$7:$P$892,13,0)),IF(ISERROR(VLOOKUP($A32,'liste reference'!$B$7:$P$892,12,0)),"    -",VLOOKUP($A32,'liste reference'!$B$7:$P$892,12,0)),VLOOKUP($A32,'liste reference'!$A$7:$P$892,13,0)))</f>
        <v>BRh</v>
      </c>
      <c r="H32" s="449" t="n">
        <f aca="false">IF(A32="","x",IF(ISERROR(VLOOKUP($A32,'liste reference'!$A$7:$P$892,14,0)),IF(ISERROR(VLOOKUP($A32,'liste reference'!$B$7:$P$892,13,0)),"x",VLOOKUP($A32,'liste reference'!$B$7:$P$892,13,0)),VLOOKUP($A32,'liste reference'!$A$7:$P$892,14,0)))</f>
        <v>4</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Jungermannia exsertifolia subsp. cordifolia</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19821</v>
      </c>
      <c r="Q32" s="455" t="n">
        <f aca="false">IF(ISTEXT(H32),"",(B32*$B$7/100)+(C32*$C$7/100))</f>
        <v>0.00325</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JUGEXE</v>
      </c>
      <c r="Z32" s="250" t="n">
        <f aca="false">IF(ISERROR(MATCH(A32,'liste reference'!$A$7:$A$892,0)),IF(ISERROR(MATCH(A32,'liste reference'!$B$7:$B$892,0)),"",(MATCH(A32,'liste reference'!$B$7:$B$892,0))),(MATCH(A32,'liste reference'!$A$7:$A$892,0)))</f>
        <v>383</v>
      </c>
      <c r="AA32" s="460"/>
      <c r="AB32" s="461"/>
      <c r="AC32" s="461"/>
      <c r="BC32" s="250" t="n">
        <f aca="false">IF(A32="","",1)</f>
        <v>1</v>
      </c>
    </row>
    <row r="33" customFormat="false" ht="12.75" hidden="false" customHeight="false" outlineLevel="0" collapsed="false">
      <c r="A33" s="462" t="s">
        <v>258</v>
      </c>
      <c r="B33" s="463" t="n">
        <v>0.005</v>
      </c>
      <c r="C33" s="464"/>
      <c r="D33" s="465" t="str">
        <f aca="false">IF(ISERROR(VLOOKUP($A33,'liste reference'!$A$7:$D$892,2,0)),IF(ISERROR(VLOOKUP($A33,'liste reference'!$B$7:$D$892,1,0)),"",VLOOKUP($A33,'liste reference'!$B$7:$D$892,1,0)),VLOOKUP($A33,'liste reference'!$A$7:$D$892,2,0))</f>
        <v>Brachythecium rivulare</v>
      </c>
      <c r="E33" s="465" t="e">
        <f aca="false">IF(D33="",0,VLOOKUP(D33,D$22:D32,1,0))</f>
        <v>#N/A</v>
      </c>
      <c r="F33" s="466" t="n">
        <f aca="false">($B33*$B$7+$C33*$C$7)/100</f>
        <v>0.00325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15</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Brachythecium rivulare</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126</v>
      </c>
      <c r="Q33" s="455" t="n">
        <f aca="false">IF(ISTEXT(H33),"",(B33*$B$7/100)+(C33*$C$7/100))</f>
        <v>0.00325</v>
      </c>
      <c r="R33" s="456" t="n">
        <f aca="false">IF(OR(ISTEXT(H33),Q33=0),"",IF(Q33&lt;0.1,1,IF(Q33&lt;1,2,IF(Q33&lt;10,3,IF(Q33&lt;50,4,IF(Q33&gt;=50,5,""))))))</f>
        <v>1</v>
      </c>
      <c r="S33" s="456" t="n">
        <f aca="false">IF(ISERROR(R33*I33),0,R33*I33)</f>
        <v>15</v>
      </c>
      <c r="T33" s="456" t="n">
        <f aca="false">IF(ISERROR(R33*I33*J33),0,R33*I33*J33)</f>
        <v>30</v>
      </c>
      <c r="U33" s="470" t="n">
        <f aca="false">IF(ISERROR(R33*J33),0,R33*J33)</f>
        <v>2</v>
      </c>
      <c r="V33" s="457" t="n">
        <v>2</v>
      </c>
      <c r="W33" s="458"/>
      <c r="Y33" s="459" t="str">
        <f aca="false">IF(A33="new.cod","NEWCOD",IF(AND((Z33=""),ISTEXT(A33)),A33,IF(Z33="","",INDEX('liste reference'!$A$7:$A$892,Z33))))</f>
        <v>BRARIV</v>
      </c>
      <c r="Z33" s="250" t="n">
        <f aca="false">IF(ISERROR(MATCH(A33,'liste reference'!$A$7:$A$892,0)),IF(ISERROR(MATCH(A33,'liste reference'!$B$7:$B$892,0)),"",(MATCH(A33,'liste reference'!$B$7:$B$892,0))),(MATCH(A33,'liste reference'!$A$7:$A$892,0)))</f>
        <v>69</v>
      </c>
      <c r="AA33" s="460"/>
      <c r="AB33" s="461"/>
      <c r="AC33" s="461"/>
      <c r="BC33" s="250" t="n">
        <f aca="false">IF(A33="","",1)</f>
        <v>1</v>
      </c>
    </row>
    <row r="34" customFormat="false" ht="12.75" hidden="false" customHeight="false" outlineLevel="0" collapsed="false">
      <c r="A34" s="462" t="s">
        <v>630</v>
      </c>
      <c r="B34" s="463" t="n">
        <v>0.005</v>
      </c>
      <c r="C34" s="464"/>
      <c r="D34" s="465" t="str">
        <f aca="false">IF(ISERROR(VLOOKUP($A34,'liste reference'!$A$7:$D$892,2,0)),IF(ISERROR(VLOOKUP($A34,'liste reference'!$B$7:$D$892,1,0)),"",VLOOKUP($A34,'liste reference'!$B$7:$D$892,1,0)),VLOOKUP($A34,'liste reference'!$A$7:$D$892,2,0))</f>
        <v>Cratoneuron filicinum</v>
      </c>
      <c r="E34" s="465" t="e">
        <f aca="false">IF(D34="",0,VLOOKUP(D34,D$22:D33,1,0))</f>
        <v>#N/A</v>
      </c>
      <c r="F34" s="472" t="n">
        <f aca="false">($B34*$B$7+$C34*$C$7)/100</f>
        <v>0.00325</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18</v>
      </c>
      <c r="J34" s="451" t="n">
        <f aca="false">IF(ISNUMBER(H34),IF(ISERROR(VLOOKUP($A34,'liste reference'!$A$7:$P$892,4,0)),IF(ISERROR(VLOOKUP($A34,'liste reference'!$B$7:$P$892,3,0)),"",VLOOKUP($A34,'liste reference'!$B$7:$P$892,3,0)),VLOOKUP($A34,'liste reference'!$A$7:$P$892,4,0)),"")</f>
        <v>3</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Cratoneuron filicinum</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1233</v>
      </c>
      <c r="Q34" s="455" t="n">
        <f aca="false">IF(ISTEXT(H34),"",(B34*$B$7/100)+(C34*$C$7/100))</f>
        <v>0.00325</v>
      </c>
      <c r="R34" s="456" t="n">
        <f aca="false">IF(OR(ISTEXT(H34),Q34=0),"",IF(Q34&lt;0.1,1,IF(Q34&lt;1,2,IF(Q34&lt;10,3,IF(Q34&lt;50,4,IF(Q34&gt;=50,5,""))))))</f>
        <v>1</v>
      </c>
      <c r="S34" s="456" t="n">
        <f aca="false">IF(ISERROR(R34*I34),0,R34*I34)</f>
        <v>18</v>
      </c>
      <c r="T34" s="456" t="n">
        <f aca="false">IF(ISERROR(R34*I34*J34),0,R34*I34*J34)</f>
        <v>54</v>
      </c>
      <c r="U34" s="470" t="n">
        <f aca="false">IF(ISERROR(R34*J34),0,R34*J34)</f>
        <v>3</v>
      </c>
      <c r="V34" s="457" t="n">
        <v>3</v>
      </c>
      <c r="W34" s="458"/>
      <c r="Y34" s="459" t="str">
        <f aca="false">IF(A34="new.cod","NEWCOD",IF(AND((Z34=""),ISTEXT(A34)),A34,IF(Z34="","",INDEX('liste reference'!$A$7:$A$892,Z34))))</f>
        <v>CRAFIL</v>
      </c>
      <c r="Z34" s="250" t="n">
        <f aca="false">IF(ISERROR(MATCH(A34,'liste reference'!$A$7:$A$892,0)),IF(ISERROR(MATCH(A34,'liste reference'!$B$7:$B$892,0)),"",(MATCH(A34,'liste reference'!$B$7:$B$892,0))),(MATCH(A34,'liste reference'!$A$7:$A$892,0)))</f>
        <v>193</v>
      </c>
      <c r="AA34" s="460"/>
      <c r="AB34" s="461"/>
      <c r="AC34" s="461"/>
      <c r="BC34" s="250" t="n">
        <f aca="false">IF(A34="","",1)</f>
        <v>1</v>
      </c>
    </row>
    <row r="35" customFormat="false" ht="12.75" hidden="false" customHeight="false" outlineLevel="0" collapsed="false">
      <c r="A35" s="462" t="s">
        <v>913</v>
      </c>
      <c r="B35" s="463" t="n">
        <v>0.005</v>
      </c>
      <c r="C35" s="464"/>
      <c r="D35" s="465" t="str">
        <f aca="false">IF(ISERROR(VLOOKUP($A35,'liste reference'!$A$7:$D$892,2,0)),IF(ISERROR(VLOOKUP($A35,'liste reference'!$B$7:$D$892,1,0)),"",VLOOKUP($A35,'liste reference'!$B$7:$D$892,1,0)),VLOOKUP($A35,'liste reference'!$A$7:$D$892,2,0))</f>
        <v>Fissidens crassipes</v>
      </c>
      <c r="E35" s="465" t="e">
        <f aca="false">IF(D35="",0,VLOOKUP(D35,D$22:D34,1,0))</f>
        <v>#N/A</v>
      </c>
      <c r="F35" s="472" t="n">
        <f aca="false">($B35*$B$7+$C35*$C$7)/100</f>
        <v>0.00325</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2</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Fissidens crassipes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1294</v>
      </c>
      <c r="Q35" s="455" t="n">
        <f aca="false">IF(ISTEXT(H35),"",(B35*$B$7/100)+(C35*$C$7/100))</f>
        <v>0.00325</v>
      </c>
      <c r="R35" s="456" t="n">
        <f aca="false">IF(OR(ISTEXT(H35),Q35=0),"",IF(Q35&lt;0.1,1,IF(Q35&lt;1,2,IF(Q35&lt;10,3,IF(Q35&lt;50,4,IF(Q35&gt;=50,5,""))))))</f>
        <v>1</v>
      </c>
      <c r="S35" s="456" t="n">
        <f aca="false">IF(ISERROR(R35*I35),0,R35*I35)</f>
        <v>12</v>
      </c>
      <c r="T35" s="456" t="n">
        <f aca="false">IF(ISERROR(R35*I35*J35),0,R35*I35*J35)</f>
        <v>24</v>
      </c>
      <c r="U35" s="470" t="n">
        <f aca="false">IF(ISERROR(R35*J35),0,R35*J35)</f>
        <v>2</v>
      </c>
      <c r="V35" s="457" t="n">
        <v>2</v>
      </c>
      <c r="W35" s="458"/>
      <c r="Y35" s="459" t="str">
        <f aca="false">IF(A35="new.cod","NEWCOD",IF(AND((Z35=""),ISTEXT(A35)),A35,IF(Z35="","",INDEX('liste reference'!$A$7:$A$892,Z35))))</f>
        <v>FISCRA</v>
      </c>
      <c r="Z35" s="250" t="n">
        <f aca="false">IF(ISERROR(MATCH(A35,'liste reference'!$A$7:$A$892,0)),IF(ISERROR(MATCH(A35,'liste reference'!$B$7:$B$892,0)),"",(MATCH(A35,'liste reference'!$B$7:$B$892,0))),(MATCH(A35,'liste reference'!$A$7:$A$892,0)))</f>
        <v>291</v>
      </c>
      <c r="AA35" s="460"/>
      <c r="AB35" s="461"/>
      <c r="AC35" s="461"/>
      <c r="BC35" s="250" t="n">
        <f aca="false">IF(A35="","",1)</f>
        <v>1</v>
      </c>
    </row>
    <row r="36" customFormat="false" ht="12.75" hidden="false" customHeight="false" outlineLevel="0" collapsed="false">
      <c r="A36" s="462" t="s">
        <v>967</v>
      </c>
      <c r="B36" s="463" t="n">
        <v>0.1</v>
      </c>
      <c r="C36" s="464" t="n">
        <v>0.1</v>
      </c>
      <c r="D36" s="465" t="str">
        <f aca="false">IF(ISERROR(VLOOKUP($A36,'liste reference'!$A$7:$D$892,2,0)),IF(ISERROR(VLOOKUP($A36,'liste reference'!$B$7:$D$892,1,0)),"",VLOOKUP($A36,'liste reference'!$B$7:$D$892,1,0)),VLOOKUP($A36,'liste reference'!$A$7:$D$892,2,0))</f>
        <v>Fontinalis hypnoides var. duriaei</v>
      </c>
      <c r="E36" s="465" t="e">
        <f aca="false">IF(D36="",0,VLOOKUP(D36,D$22:D35,1,0))</f>
        <v>#N/A</v>
      </c>
      <c r="F36" s="472" t="n">
        <f aca="false">($B36*$B$7+$C36*$C$7)/100</f>
        <v>0.1</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14</v>
      </c>
      <c r="J36" s="451" t="n">
        <f aca="false">IF(ISNUMBER(H36),IF(ISERROR(VLOOKUP($A36,'liste reference'!$A$7:$P$892,4,0)),IF(ISERROR(VLOOKUP($A36,'liste reference'!$B$7:$P$892,3,0)),"",VLOOKUP($A36,'liste reference'!$B$7:$P$892,3,0)),VLOOKUP($A36,'liste reference'!$A$7:$P$892,4,0)),"")</f>
        <v>3</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Fontinalis hypnoides var. duriaei</v>
      </c>
      <c r="L36" s="469"/>
      <c r="M36" s="469"/>
      <c r="N36" s="469"/>
      <c r="O36" s="454" t="str">
        <f aca="false">IF(AA36="Cf.","Cf.","")</f>
        <v>Cf.</v>
      </c>
      <c r="P36" s="454" t="n">
        <f aca="false">IF($A36="NEWCOD",IF($AC36="","No",$AC36),IF(ISTEXT($E36),"DEJA SAISI !",IF($A36="","",IF(ISERROR(VLOOKUP($A36,'liste reference'!A:S,19,FALSE())),IF(ISERROR(VLOOKUP($A36,'liste reference'!B:S,19,FALSE())),"",VLOOKUP($A36,'liste reference'!B:S,19,FALSE())),VLOOKUP($A36,'liste reference'!A:S,19,FALSE())))))</f>
        <v>1215</v>
      </c>
      <c r="Q36" s="455" t="n">
        <f aca="false">IF(ISTEXT(H36),"",(B36*$B$7/100)+(C36*$C$7/100))</f>
        <v>0.1</v>
      </c>
      <c r="R36" s="456" t="n">
        <f aca="false">IF(OR(ISTEXT(H36),Q36=0),"",IF(Q36&lt;0.1,1,IF(Q36&lt;1,2,IF(Q36&lt;10,3,IF(Q36&lt;50,4,IF(Q36&gt;=50,5,""))))))</f>
        <v>2</v>
      </c>
      <c r="S36" s="456" t="n">
        <f aca="false">IF(ISERROR(R36*I36),0,R36*I36)</f>
        <v>28</v>
      </c>
      <c r="T36" s="456" t="n">
        <f aca="false">IF(ISERROR(R36*I36*J36),0,R36*I36*J36)</f>
        <v>84</v>
      </c>
      <c r="U36" s="470" t="n">
        <f aca="false">IF(ISERROR(R36*J36),0,R36*J36)</f>
        <v>6</v>
      </c>
      <c r="V36" s="457" t="n">
        <v>6</v>
      </c>
      <c r="W36" s="458"/>
      <c r="Y36" s="459" t="str">
        <f aca="false">IF(A36="new.cod","NEWCOD",IF(AND((Z36=""),ISTEXT(A36)),A36,IF(Z36="","",INDEX('liste reference'!$A$7:$A$892,Z36))))</f>
        <v>FONDUR</v>
      </c>
      <c r="Z36" s="250" t="n">
        <f aca="false">IF(ISERROR(MATCH(A36,'liste reference'!$A$7:$A$892,0)),IF(ISERROR(MATCH(A36,'liste reference'!$B$7:$B$892,0)),"",(MATCH(A36,'liste reference'!$B$7:$B$892,0))),(MATCH(A36,'liste reference'!$A$7:$A$892,0)))</f>
        <v>305</v>
      </c>
      <c r="AA36" s="460" t="s">
        <v>2685</v>
      </c>
      <c r="AB36" s="461"/>
      <c r="AC36" s="461"/>
      <c r="BC36" s="250" t="n">
        <f aca="false">IF(A36="","",1)</f>
        <v>1</v>
      </c>
    </row>
    <row r="37" customFormat="false" ht="12.75" hidden="false" customHeight="false" outlineLevel="0" collapsed="false">
      <c r="A37" s="462" t="s">
        <v>2077</v>
      </c>
      <c r="B37" s="463" t="n">
        <v>0.13</v>
      </c>
      <c r="C37" s="464" t="n">
        <v>0.02</v>
      </c>
      <c r="D37" s="465" t="str">
        <f aca="false">IF(ISERROR(VLOOKUP($A37,'liste reference'!$A$7:$D$892,2,0)),IF(ISERROR(VLOOKUP($A37,'liste reference'!$B$7:$D$892,1,0)),"",VLOOKUP($A37,'liste reference'!$B$7:$D$892,1,0)),VLOOKUP($A37,'liste reference'!$A$7:$D$892,2,0))</f>
        <v>Rhynchostegium riparioides</v>
      </c>
      <c r="E37" s="465" t="e">
        <f aca="false">IF(D37="",0,VLOOKUP(D37,D$22:D36,1,0))</f>
        <v>#N/A</v>
      </c>
      <c r="F37" s="472" t="n">
        <f aca="false">($B37*$B$7+$C37*$C$7)/100</f>
        <v>0.0915</v>
      </c>
      <c r="G37" s="467" t="str">
        <f aca="false">IF(A37="","",IF(ISERROR(VLOOKUP($A37,'liste reference'!$A$7:$P$892,13,0)),IF(ISERROR(VLOOKUP($A37,'liste reference'!$B$7:$P$892,12,0)),"    -",VLOOKUP($A37,'liste reference'!$B$7:$P$892,12,0)),VLOOKUP($A37,'liste reference'!$A$7:$P$892,13,0)))</f>
        <v>BRm</v>
      </c>
      <c r="H37" s="449" t="n">
        <f aca="false">IF(A37="","x",IF(ISERROR(VLOOKUP($A37,'liste reference'!$A$7:$P$892,14,0)),IF(ISERROR(VLOOKUP($A37,'liste reference'!$B$7:$P$892,13,0)),"x",VLOOKUP($A37,'liste reference'!$B$7:$P$892,13,0)),VLOOKUP($A37,'liste reference'!$A$7:$P$892,14,0)))</f>
        <v>5</v>
      </c>
      <c r="I37" s="468" t="n">
        <f aca="false">IF(ISNUMBER(H37),IF(ISERROR(VLOOKUP($A37,'liste reference'!$A$7:$P$892,3,0)),IF(ISERROR(VLOOKUP($A37,'liste reference'!$B$7:$P$892,2,0)),"",VLOOKUP($A37,'liste reference'!$B$7:$P$892,2,0)),VLOOKUP($A37,'liste reference'!$A$7:$P$892,3,0)),"")</f>
        <v>12</v>
      </c>
      <c r="J37" s="451" t="n">
        <f aca="false">IF(ISNUMBER(H37),IF(ISERROR(VLOOKUP($A37,'liste reference'!$A$7:$P$892,4,0)),IF(ISERROR(VLOOKUP($A37,'liste reference'!$B$7:$P$892,3,0)),"",VLOOKUP($A37,'liste reference'!$B$7:$P$892,3,0)),VLOOKUP($A37,'liste reference'!$A$7:$P$892,4,0)),"")</f>
        <v>1</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Rhynchostegium riparioides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1268</v>
      </c>
      <c r="Q37" s="455" t="n">
        <f aca="false">IF(ISTEXT(H37),"",(B37*$B$7/100)+(C37*$C$7/100))</f>
        <v>0.0915</v>
      </c>
      <c r="R37" s="456" t="n">
        <f aca="false">IF(OR(ISTEXT(H37),Q37=0),"",IF(Q37&lt;0.1,1,IF(Q37&lt;1,2,IF(Q37&lt;10,3,IF(Q37&lt;50,4,IF(Q37&gt;=50,5,""))))))</f>
        <v>1</v>
      </c>
      <c r="S37" s="456" t="n">
        <f aca="false">IF(ISERROR(R37*I37),0,R37*I37)</f>
        <v>12</v>
      </c>
      <c r="T37" s="456" t="n">
        <f aca="false">IF(ISERROR(R37*I37*J37),0,R37*I37*J37)</f>
        <v>12</v>
      </c>
      <c r="U37" s="470" t="n">
        <f aca="false">IF(ISERROR(R37*J37),0,R37*J37)</f>
        <v>1</v>
      </c>
      <c r="V37" s="457" t="n">
        <v>1</v>
      </c>
      <c r="W37" s="458"/>
      <c r="Y37" s="459" t="str">
        <f aca="false">IF(A37="new.cod","NEWCOD",IF(AND((Z37=""),ISTEXT(A37)),A37,IF(Z37="","",INDEX('liste reference'!$A$7:$A$892,Z37))))</f>
        <v>RHYRIP</v>
      </c>
      <c r="Z37" s="250" t="n">
        <f aca="false">IF(ISERROR(MATCH(A37,'liste reference'!$A$7:$A$892,0)),IF(ISERROR(MATCH(A37,'liste reference'!$B$7:$B$892,0)),"",(MATCH(A37,'liste reference'!$B$7:$B$892,0))),(MATCH(A37,'liste reference'!$A$7:$A$892,0)))</f>
        <v>705</v>
      </c>
      <c r="AA37" s="460"/>
      <c r="AB37" s="461"/>
      <c r="AC37" s="461"/>
      <c r="BC37" s="250" t="n">
        <f aca="false">IF(A37="","",1)</f>
        <v>1</v>
      </c>
    </row>
    <row r="38" customFormat="false" ht="12.75" hidden="false" customHeight="false" outlineLevel="0" collapsed="false">
      <c r="A38" s="462" t="s">
        <v>839</v>
      </c>
      <c r="B38" s="463" t="n">
        <v>0.005</v>
      </c>
      <c r="C38" s="464" t="n">
        <v>0.005</v>
      </c>
      <c r="D38" s="465" t="str">
        <f aca="false">IF(ISERROR(VLOOKUP($A38,'liste reference'!$A$7:$D$892,2,0)),IF(ISERROR(VLOOKUP($A38,'liste reference'!$B$7:$D$892,1,0)),"",VLOOKUP($A38,'liste reference'!$B$7:$D$892,1,0)),VLOOKUP($A38,'liste reference'!$A$7:$D$892,2,0))</f>
        <v>Equisetum arvense</v>
      </c>
      <c r="E38" s="465" t="e">
        <f aca="false">IF(D38="",0,VLOOKUP(D38,D$22:D37,1,0))</f>
        <v>#N/A</v>
      </c>
      <c r="F38" s="472" t="n">
        <f aca="false">($B38*$B$7+$C38*$C$7)/100</f>
        <v>0.005</v>
      </c>
      <c r="G38" s="467" t="str">
        <f aca="false">IF(A38="","",IF(ISERROR(VLOOKUP($A38,'liste reference'!$A$7:$P$892,13,0)),IF(ISERROR(VLOOKUP($A38,'liste reference'!$B$7:$P$892,12,0)),"    -",VLOOKUP($A38,'liste reference'!$B$7:$P$892,12,0)),VLOOKUP($A38,'liste reference'!$A$7:$P$892,13,0)))</f>
        <v>PTE</v>
      </c>
      <c r="H38" s="449" t="n">
        <f aca="false">IF(A38="","x",IF(ISERROR(VLOOKUP($A38,'liste reference'!$A$7:$P$892,14,0)),IF(ISERROR(VLOOKUP($A38,'liste reference'!$B$7:$P$892,13,0)),"x",VLOOKUP($A38,'liste reference'!$B$7:$P$892,13,0)),VLOOKUP($A38,'liste reference'!$A$7:$P$892,14,0)))</f>
        <v>6</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Equisetum arvense</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1384</v>
      </c>
      <c r="Q38" s="455" t="n">
        <f aca="false">IF(ISTEXT(H38),"",(B38*$B$7/100)+(C38*$C$7/100))</f>
        <v>0.005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EQUARV</v>
      </c>
      <c r="Z38" s="250" t="n">
        <f aca="false">IF(ISERROR(MATCH(A38,'liste reference'!$A$7:$A$892,0)),IF(ISERROR(MATCH(A38,'liste reference'!$B$7:$B$892,0)),"",(MATCH(A38,'liste reference'!$B$7:$B$892,0))),(MATCH(A38,'liste reference'!$A$7:$A$892,0)))</f>
        <v>266</v>
      </c>
      <c r="AA38" s="460"/>
      <c r="AB38" s="461"/>
      <c r="AC38" s="461"/>
      <c r="BC38" s="250" t="n">
        <f aca="false">IF(A38="","",1)</f>
        <v>1</v>
      </c>
    </row>
    <row r="39" customFormat="false" ht="12.75" hidden="false" customHeight="false" outlineLevel="0" collapsed="false">
      <c r="A39" s="462" t="s">
        <v>72</v>
      </c>
      <c r="B39" s="463" t="n">
        <v>0.005</v>
      </c>
      <c r="C39" s="464" t="n">
        <v>0.005</v>
      </c>
      <c r="D39" s="465" t="str">
        <f aca="false">IF(ISERROR(VLOOKUP($A39,'liste reference'!$A$7:$D$892,2,0)),IF(ISERROR(VLOOKUP($A39,'liste reference'!$B$7:$D$892,1,0)),"",VLOOKUP($A39,'liste reference'!$B$7:$D$892,1,0)),VLOOKUP($A39,'liste reference'!$A$7:$D$892,2,0))</f>
        <v>Agrostis stolonifera</v>
      </c>
      <c r="E39" s="465" t="e">
        <f aca="false">IF(D39="",0,VLOOKUP(D39,D$22:D38,1,0))</f>
        <v>#N/A</v>
      </c>
      <c r="F39" s="472" t="n">
        <f aca="false">($B39*$B$7+$C39*$C$7)/100</f>
        <v>0.005</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10</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Agrostis stolonifera</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1543</v>
      </c>
      <c r="Q39" s="455" t="n">
        <f aca="false">IF(ISTEXT(H39),"",(B39*$B$7/100)+(C39*$C$7/100))</f>
        <v>0.005</v>
      </c>
      <c r="R39" s="456" t="n">
        <f aca="false">IF(OR(ISTEXT(H39),Q39=0),"",IF(Q39&lt;0.1,1,IF(Q39&lt;1,2,IF(Q39&lt;10,3,IF(Q39&lt;50,4,IF(Q39&gt;=50,5,""))))))</f>
        <v>1</v>
      </c>
      <c r="S39" s="456" t="n">
        <f aca="false">IF(ISERROR(R39*I39),0,R39*I39)</f>
        <v>10</v>
      </c>
      <c r="T39" s="456" t="n">
        <f aca="false">IF(ISERROR(R39*I39*J39),0,R39*I39*J39)</f>
        <v>10</v>
      </c>
      <c r="U39" s="470" t="n">
        <f aca="false">IF(ISERROR(R39*J39),0,R39*J39)</f>
        <v>1</v>
      </c>
      <c r="V39" s="457" t="n">
        <v>1</v>
      </c>
      <c r="W39" s="458"/>
      <c r="Y39" s="459" t="str">
        <f aca="false">IF(A39="new.cod","NEWCOD",IF(AND((Z39=""),ISTEXT(A39)),A39,IF(Z39="","",INDEX('liste reference'!$A$7:$A$892,Z39))))</f>
        <v>AGRSTO</v>
      </c>
      <c r="Z39" s="250" t="n">
        <f aca="false">IF(ISERROR(MATCH(A39,'liste reference'!$A$7:$A$892,0)),IF(ISERROR(MATCH(A39,'liste reference'!$B$7:$B$892,0)),"",(MATCH(A39,'liste reference'!$B$7:$B$892,0))),(MATCH(A39,'liste reference'!$A$7:$A$892,0)))</f>
        <v>8</v>
      </c>
      <c r="AA39" s="460"/>
      <c r="AB39" s="461"/>
      <c r="AC39" s="461"/>
      <c r="BC39" s="250" t="n">
        <f aca="false">IF(A39="","",1)</f>
        <v>1</v>
      </c>
    </row>
    <row r="40" customFormat="false" ht="12.75" hidden="false" customHeight="false" outlineLevel="0" collapsed="false">
      <c r="A40" s="462" t="s">
        <v>1420</v>
      </c>
      <c r="B40" s="463" t="n">
        <v>0.005</v>
      </c>
      <c r="C40" s="464" t="n">
        <v>0.01</v>
      </c>
      <c r="D40" s="465" t="str">
        <f aca="false">IF(ISERROR(VLOOKUP($A40,'liste reference'!$A$7:$D$892,2,0)),IF(ISERROR(VLOOKUP($A40,'liste reference'!$B$7:$D$892,1,0)),"",VLOOKUP($A40,'liste reference'!$B$7:$D$892,1,0)),VLOOKUP($A40,'liste reference'!$A$7:$D$892,2,0))</f>
        <v>Mentha sp.</v>
      </c>
      <c r="E40" s="465" t="e">
        <f aca="false">IF(D40="",0,VLOOKUP(D40,D$22:D39,1,0))</f>
        <v>#N/A</v>
      </c>
      <c r="F40" s="472" t="n">
        <f aca="false">($B40*$B$7+$C40*$C$7)/100</f>
        <v>0.00675</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0</v>
      </c>
      <c r="J40" s="451" t="n">
        <f aca="false">IF(ISNUMBER(H40),IF(ISERROR(VLOOKUP($A40,'liste reference'!$A$7:$P$892,4,0)),IF(ISERROR(VLOOKUP($A40,'liste reference'!$B$7:$P$892,3,0)),"",VLOOKUP($A40,'liste reference'!$B$7:$P$892,3,0)),VLOOKUP($A40,'liste reference'!$A$7:$P$892,4,0)),"")</f>
        <v>0</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Mentha sp.</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179</v>
      </c>
      <c r="Q40" s="455" t="n">
        <f aca="false">IF(ISTEXT(H40),"",(B40*$B$7/100)+(C40*$C$7/100))</f>
        <v>0.00675</v>
      </c>
      <c r="R40" s="456" t="n">
        <f aca="false">IF(OR(ISTEXT(H40),Q40=0),"",IF(Q40&lt;0.1,1,IF(Q40&lt;1,2,IF(Q40&lt;10,3,IF(Q40&lt;50,4,IF(Q40&gt;=50,5,""))))))</f>
        <v>1</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MENSPX</v>
      </c>
      <c r="Z40" s="250" t="n">
        <f aca="false">IF(ISERROR(MATCH(A40,'liste reference'!$A$7:$A$892,0)),IF(ISERROR(MATCH(A40,'liste reference'!$B$7:$B$892,0)),"",(MATCH(A40,'liste reference'!$B$7:$B$892,0))),(MATCH(A40,'liste reference'!$A$7:$A$892,0)))</f>
        <v>462</v>
      </c>
      <c r="AA40" s="460"/>
      <c r="AB40" s="461"/>
      <c r="AC40" s="461"/>
      <c r="BC40" s="250" t="n">
        <f aca="false">IF(A40="","",1)</f>
        <v>1</v>
      </c>
    </row>
    <row r="41" customFormat="false" ht="12.75" hidden="false" customHeight="false" outlineLevel="0" collapsed="false">
      <c r="A41" s="462" t="s">
        <v>2274</v>
      </c>
      <c r="B41" s="463"/>
      <c r="C41" s="464" t="n">
        <v>0.005</v>
      </c>
      <c r="D41" s="465" t="str">
        <f aca="false">IF(ISERROR(VLOOKUP($A41,'liste reference'!$A$7:$D$892,2,0)),IF(ISERROR(VLOOKUP($A41,'liste reference'!$B$7:$D$892,1,0)),"",VLOOKUP($A41,'liste reference'!$B$7:$D$892,1,0)),VLOOKUP($A41,'liste reference'!$A$7:$D$892,2,0))</f>
        <v>Scirpoides holoschoenus</v>
      </c>
      <c r="E41" s="465" t="e">
        <f aca="false">IF(D41="",0,VLOOKUP(D41,D$22:D40,1,0))</f>
        <v>#N/A</v>
      </c>
      <c r="F41" s="472" t="n">
        <f aca="false">($B41*$B$7+$C41*$C$7)/100</f>
        <v>0.00175</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0</v>
      </c>
      <c r="J41" s="451" t="n">
        <f aca="false">IF(ISNUMBER(H41),IF(ISERROR(VLOOKUP($A41,'liste reference'!$A$7:$P$892,4,0)),IF(ISERROR(VLOOKUP($A41,'liste reference'!$B$7:$P$892,3,0)),"",VLOOKUP($A41,'liste reference'!$B$7:$P$892,3,0)),VLOOKUP($A41,'liste reference'!$A$7:$P$892,4,0)),"")</f>
        <v>0</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Scirpoides holoschoenus</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Pas de cd_sandre</v>
      </c>
      <c r="Q41" s="455" t="n">
        <f aca="false">IF(ISTEXT(H41),"",(B41*$B$7/100)+(C41*$C$7/100))</f>
        <v>0.00175</v>
      </c>
      <c r="R41" s="456" t="n">
        <f aca="false">IF(OR(ISTEXT(H41),Q41=0),"",IF(Q41&lt;0.1,1,IF(Q41&lt;1,2,IF(Q41&lt;10,3,IF(Q41&lt;50,4,IF(Q41&gt;=50,5,""))))))</f>
        <v>1</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SCPHOL</v>
      </c>
      <c r="Z41" s="250" t="n">
        <f aca="false">IF(ISERROR(MATCH(A41,'liste reference'!$A$7:$A$892,0)),IF(ISERROR(MATCH(A41,'liste reference'!$B$7:$B$892,0)),"",(MATCH(A41,'liste reference'!$B$7:$B$892,0))),(MATCH(A41,'liste reference'!$A$7:$A$892,0)))</f>
        <v>770</v>
      </c>
      <c r="AA41" s="460"/>
      <c r="AB41" s="461"/>
      <c r="AC41" s="461"/>
      <c r="BC41" s="250" t="n">
        <f aca="false">IF(A41="","",1)</f>
        <v>1</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BEVINCO</v>
      </c>
      <c r="B84" s="493" t="str">
        <f aca="false">C3</f>
        <v>Rutali</v>
      </c>
      <c r="C84" s="494" t="n">
        <f aca="false">A4</f>
        <v>41071</v>
      </c>
      <c r="D84" s="495" t="n">
        <f aca="false">IF(ISERROR(SUM($T$23:$T$82)/SUM($U$23:$U$82)),"",SUM($T$23:$T$82)/SUM($U$23:$U$82))</f>
        <v>12.5135135135135</v>
      </c>
      <c r="E84" s="496" t="n">
        <f aca="false">N13</f>
        <v>19</v>
      </c>
      <c r="F84" s="493" t="n">
        <f aca="false">N14</f>
        <v>19</v>
      </c>
      <c r="G84" s="493" t="n">
        <f aca="false">N15</f>
        <v>6</v>
      </c>
      <c r="H84" s="493" t="n">
        <f aca="false">N16</f>
        <v>6</v>
      </c>
      <c r="I84" s="493" t="n">
        <f aca="false">N17</f>
        <v>2</v>
      </c>
      <c r="J84" s="497" t="n">
        <f aca="false">N8</f>
        <v>8.68421052631579</v>
      </c>
      <c r="K84" s="495" t="n">
        <f aca="false">N9</f>
        <v>6.21872290907732</v>
      </c>
      <c r="L84" s="496" t="n">
        <f aca="false">N10</f>
        <v>0</v>
      </c>
      <c r="M84" s="496" t="n">
        <f aca="false">N11</f>
        <v>18</v>
      </c>
      <c r="N84" s="495" t="n">
        <f aca="false">O8</f>
        <v>1.26315789473684</v>
      </c>
      <c r="O84" s="495" t="n">
        <f aca="false">O9</f>
        <v>0.991189255566704</v>
      </c>
      <c r="P84" s="496" t="n">
        <f aca="false">O10</f>
        <v>0</v>
      </c>
      <c r="Q84" s="496" t="n">
        <f aca="false">O11</f>
        <v>3</v>
      </c>
      <c r="R84" s="496" t="n">
        <f aca="false">F21</f>
        <v>9.677</v>
      </c>
      <c r="S84" s="496" t="n">
        <f aca="false">K11</f>
        <v>0</v>
      </c>
      <c r="T84" s="496" t="n">
        <f aca="false">K12</f>
        <v>9</v>
      </c>
      <c r="U84" s="496" t="n">
        <f aca="false">K13</f>
        <v>6</v>
      </c>
      <c r="V84" s="498" t="n">
        <f aca="false">K14</f>
        <v>1</v>
      </c>
      <c r="W84" s="499" t="n">
        <f aca="false">K15</f>
        <v>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36</v>
      </c>
      <c r="T87" s="250"/>
      <c r="U87" s="250"/>
      <c r="V87" s="250"/>
    </row>
    <row r="88" customFormat="false" ht="12.75" hidden="true" customHeight="false" outlineLevel="0" collapsed="false">
      <c r="P88" s="250"/>
      <c r="Q88" s="250" t="s">
        <v>2689</v>
      </c>
      <c r="R88" s="250"/>
      <c r="S88" s="457" t="n">
        <f aca="false">VLOOKUP((S87),($S$23:$U$82),2,0)</f>
        <v>72</v>
      </c>
      <c r="T88" s="250"/>
      <c r="U88" s="250"/>
      <c r="V88" s="250"/>
    </row>
    <row r="89" customFormat="false" ht="12.75" hidden="false" customHeight="false" outlineLevel="0" collapsed="false">
      <c r="Q89" s="250" t="s">
        <v>2690</v>
      </c>
      <c r="R89" s="250"/>
      <c r="S89" s="457" t="n">
        <f aca="false">VLOOKUP((S87),($S$23:$U$82),3,0)</f>
        <v>6</v>
      </c>
      <c r="T89" s="250"/>
    </row>
    <row r="90" customFormat="false" ht="12.75" hidden="false" customHeight="false" outlineLevel="0" collapsed="false">
      <c r="Q90" s="250" t="s">
        <v>2691</v>
      </c>
      <c r="R90" s="250"/>
      <c r="S90" s="502" t="n">
        <f aca="false">IF(ISERROR(SUM($T$23:$T$82)/SUM($U$23:$U$82)),"",(SUM($T$23:$T$82)-S88)/(SUM($U$23:$U$82)-S89))</f>
        <v>12.6129032258065</v>
      </c>
      <c r="T90" s="250"/>
    </row>
    <row r="91" customFormat="false" ht="12.75" hidden="false" customHeight="false" outlineLevel="0" collapsed="false">
      <c r="Q91" s="456" t="s">
        <v>2692</v>
      </c>
      <c r="R91" s="456"/>
      <c r="S91" s="456" t="str">
        <f aca="false">INDEX('liste reference'!$A$7:$A$892,$T$91)</f>
        <v>DIASPX</v>
      </c>
      <c r="T91" s="250" t="n">
        <f aca="false">IF(ISERROR(MATCH($S$93,'liste reference'!$A$7:$A$892,0)),MATCH($S$93,'liste reference'!$B$7:$B$892,0),(MATCH($S$93,'liste reference'!$A$7:$A$892,0)))</f>
        <v>210</v>
      </c>
      <c r="U91" s="491"/>
    </row>
    <row r="92" customFormat="false" ht="12.75" hidden="false" customHeight="false" outlineLevel="0" collapsed="false">
      <c r="Q92" s="250" t="s">
        <v>2693</v>
      </c>
      <c r="R92" s="250"/>
      <c r="S92" s="250" t="n">
        <f aca="false">MATCH(S87,$S$23:$S$82,0)</f>
        <v>3</v>
      </c>
      <c r="T92" s="250"/>
    </row>
    <row r="93" customFormat="false" ht="12.75" hidden="false" customHeight="false" outlineLevel="0" collapsed="false">
      <c r="Q93" s="456" t="s">
        <v>2694</v>
      </c>
      <c r="R93" s="250"/>
      <c r="S93" s="456" t="str">
        <f aca="false">INDEX($A$23:$A$82,$S$92)</f>
        <v>DIASPX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2695</v>
      </c>
      <c r="B2" s="254"/>
      <c r="C2" s="255" t="s">
        <v>2696</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2697</v>
      </c>
      <c r="B3" s="254"/>
      <c r="C3" s="253" t="s">
        <v>2698</v>
      </c>
      <c r="D3" s="264"/>
      <c r="E3" s="264"/>
      <c r="F3" s="265"/>
      <c r="G3" s="265"/>
      <c r="H3" s="266"/>
      <c r="I3" s="267"/>
      <c r="J3" s="266"/>
      <c r="K3" s="268" t="s">
        <v>2699</v>
      </c>
      <c r="L3" s="269"/>
      <c r="M3" s="270" t="s">
        <v>2700</v>
      </c>
      <c r="N3" s="271"/>
      <c r="O3" s="271"/>
      <c r="P3" s="272"/>
      <c r="Q3" s="250"/>
      <c r="R3" s="250"/>
      <c r="S3" s="250"/>
      <c r="T3" s="250"/>
      <c r="U3" s="250"/>
      <c r="V3" s="250"/>
      <c r="W3" s="262"/>
      <c r="X3" s="263"/>
    </row>
    <row r="4" customFormat="false" ht="13.5" hidden="false" customHeight="false" outlineLevel="0" collapsed="false">
      <c r="A4" s="273" t="s">
        <v>2701</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2702</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2686</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2687</v>
      </c>
      <c r="R86" s="250"/>
      <c r="S86" s="457"/>
      <c r="T86" s="250"/>
      <c r="U86" s="250"/>
      <c r="V86" s="250"/>
    </row>
    <row r="87" customFormat="false" ht="12.75" hidden="true" customHeight="false" outlineLevel="0" collapsed="false">
      <c r="P87" s="250"/>
      <c r="Q87" s="250" t="s">
        <v>2688</v>
      </c>
      <c r="R87" s="250"/>
      <c r="S87" s="457" t="n">
        <f aca="false">VLOOKUP(MAX($S$23:$S$82),($S$23:$U$82),1,0)</f>
        <v>0</v>
      </c>
      <c r="T87" s="250"/>
      <c r="U87" s="250"/>
      <c r="V87" s="250"/>
    </row>
    <row r="88" customFormat="false" ht="12.75" hidden="true" customHeight="false" outlineLevel="0" collapsed="false">
      <c r="P88" s="250"/>
      <c r="Q88" s="250" t="s">
        <v>2689</v>
      </c>
      <c r="R88" s="250"/>
      <c r="S88" s="457" t="n">
        <f aca="false">VLOOKUP((S87),($S$23:$U$82),2,0)</f>
        <v>0</v>
      </c>
      <c r="T88" s="250"/>
      <c r="U88" s="250"/>
      <c r="V88" s="250"/>
    </row>
    <row r="89" customFormat="false" ht="12.75" hidden="false" customHeight="false" outlineLevel="0" collapsed="false">
      <c r="Q89" s="250" t="s">
        <v>2690</v>
      </c>
      <c r="R89" s="250"/>
      <c r="S89" s="457" t="n">
        <f aca="false">VLOOKUP((S87),($S$23:$U$82),3,0)</f>
        <v>0</v>
      </c>
      <c r="T89" s="250"/>
    </row>
    <row r="90" customFormat="false" ht="12.75" hidden="false" customHeight="false" outlineLevel="0" collapsed="false">
      <c r="Q90" s="250" t="s">
        <v>2691</v>
      </c>
      <c r="R90" s="250"/>
      <c r="S90" s="502" t="str">
        <f aca="false">IF(ISERROR(SUM($T$23:$T$82)/SUM($U$23:$U$82)),"",(SUM($T$23:$T$82)-S88)/(SUM($U$23:$U$82)-S89))</f>
        <v/>
      </c>
      <c r="T90" s="250"/>
    </row>
    <row r="91" customFormat="false" ht="12.75" hidden="false" customHeight="false" outlineLevel="0" collapsed="false">
      <c r="Q91" s="456" t="s">
        <v>2692</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2693</v>
      </c>
      <c r="R92" s="250"/>
      <c r="S92" s="250" t="n">
        <f aca="false">MATCH(S87,$S$23:$S$82,0)</f>
        <v>1</v>
      </c>
      <c r="T92" s="250"/>
    </row>
    <row r="93" customFormat="false" ht="12.75" hidden="false" customHeight="false" outlineLevel="0" collapsed="false">
      <c r="Q93" s="456" t="s">
        <v>2694</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2703</v>
      </c>
      <c r="B1" s="513"/>
      <c r="C1" s="513"/>
      <c r="D1" s="513"/>
    </row>
    <row r="2" customFormat="false" ht="15" hidden="false" customHeight="false" outlineLevel="0" collapsed="false">
      <c r="A2" s="514" t="s">
        <v>2704</v>
      </c>
      <c r="B2" s="515"/>
      <c r="C2" s="516"/>
      <c r="D2" s="516"/>
    </row>
    <row r="3" customFormat="false" ht="15.75" hidden="false" customHeight="false" outlineLevel="0" collapsed="false">
      <c r="A3" s="514" t="s">
        <v>2705</v>
      </c>
      <c r="B3" s="515"/>
      <c r="C3" s="516"/>
      <c r="D3" s="517" t="s">
        <v>2706</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2707</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2708</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2709</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2710</v>
      </c>
      <c r="C15" s="532"/>
      <c r="D15" s="533"/>
      <c r="F15" s="534" t="s">
        <v>2711</v>
      </c>
      <c r="G15" s="535"/>
      <c r="H15" s="536" t="s">
        <v>2712</v>
      </c>
      <c r="I15" s="535"/>
    </row>
    <row r="16" customFormat="false" ht="12.75" hidden="false" customHeight="false" outlineLevel="0" collapsed="false">
      <c r="A16" s="531" t="s">
        <v>72</v>
      </c>
      <c r="B16" s="530" t="s">
        <v>73</v>
      </c>
      <c r="C16" s="532"/>
      <c r="D16" s="533"/>
      <c r="F16" s="537" t="s">
        <v>2713</v>
      </c>
      <c r="G16" s="538"/>
      <c r="H16" s="537" t="s">
        <v>2713</v>
      </c>
      <c r="I16" s="539"/>
    </row>
    <row r="17" customFormat="false" ht="12.75" hidden="false" customHeight="false" outlineLevel="0" collapsed="false">
      <c r="A17" s="529" t="s">
        <v>75</v>
      </c>
      <c r="B17" s="530" t="s">
        <v>76</v>
      </c>
      <c r="C17" s="532"/>
      <c r="D17" s="533"/>
      <c r="F17" s="540" t="s">
        <v>2714</v>
      </c>
      <c r="G17" s="541"/>
      <c r="H17" s="540" t="s">
        <v>2714</v>
      </c>
      <c r="I17" s="542"/>
    </row>
    <row r="18" customFormat="false" ht="12.75" hidden="false" customHeight="false" outlineLevel="0" collapsed="false">
      <c r="A18" s="529" t="s">
        <v>78</v>
      </c>
      <c r="B18" s="530" t="s">
        <v>2715</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2716</v>
      </c>
      <c r="G19" s="541"/>
      <c r="H19" s="540" t="s">
        <v>2716</v>
      </c>
      <c r="I19" s="542"/>
    </row>
    <row r="20" customFormat="false" ht="12.75" hidden="false" customHeight="false" outlineLevel="0" collapsed="false">
      <c r="A20" s="531" t="s">
        <v>85</v>
      </c>
      <c r="B20" s="530" t="s">
        <v>86</v>
      </c>
      <c r="C20" s="532"/>
      <c r="D20" s="533"/>
      <c r="F20" s="540" t="s">
        <v>2717</v>
      </c>
      <c r="G20" s="541"/>
      <c r="H20" s="540" t="s">
        <v>2717</v>
      </c>
      <c r="I20" s="542"/>
    </row>
    <row r="21" customFormat="false" ht="12.75" hidden="false" customHeight="false" outlineLevel="0" collapsed="false">
      <c r="A21" s="531" t="s">
        <v>91</v>
      </c>
      <c r="B21" s="530" t="s">
        <v>92</v>
      </c>
      <c r="C21" s="532"/>
      <c r="D21" s="533"/>
      <c r="F21" s="540" t="s">
        <v>2718</v>
      </c>
      <c r="G21" s="541"/>
      <c r="H21" s="540" t="s">
        <v>2718</v>
      </c>
      <c r="I21" s="542"/>
    </row>
    <row r="22" customFormat="false" ht="12.75" hidden="false" customHeight="false" outlineLevel="0" collapsed="false">
      <c r="A22" s="529" t="s">
        <v>97</v>
      </c>
      <c r="B22" s="530" t="s">
        <v>98</v>
      </c>
      <c r="C22" s="532"/>
      <c r="D22" s="533"/>
      <c r="F22" s="540" t="s">
        <v>2719</v>
      </c>
      <c r="G22" s="541"/>
      <c r="H22" s="540" t="s">
        <v>2719</v>
      </c>
      <c r="I22" s="542"/>
    </row>
    <row r="23" customFormat="false" ht="12.75" hidden="false" customHeight="false" outlineLevel="0" collapsed="false">
      <c r="A23" s="529" t="s">
        <v>99</v>
      </c>
      <c r="B23" s="530" t="s">
        <v>2720</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2721</v>
      </c>
      <c r="G24" s="541"/>
      <c r="H24" s="540" t="s">
        <v>2721</v>
      </c>
      <c r="I24" s="542"/>
    </row>
    <row r="25" customFormat="false" ht="12.75" hidden="false" customHeight="false" outlineLevel="0" collapsed="false">
      <c r="A25" s="529" t="s">
        <v>105</v>
      </c>
      <c r="B25" s="530" t="s">
        <v>106</v>
      </c>
      <c r="C25" s="532"/>
      <c r="D25" s="533"/>
      <c r="F25" s="543" t="s">
        <v>2722</v>
      </c>
      <c r="G25" s="544"/>
      <c r="H25" s="543" t="s">
        <v>2722</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2723</v>
      </c>
      <c r="C28" s="532"/>
      <c r="D28" s="533"/>
      <c r="F28" s="546" t="s">
        <v>2681</v>
      </c>
    </row>
    <row r="29" customFormat="false" ht="12.75" hidden="false" customHeight="false" outlineLevel="0" collapsed="false">
      <c r="A29" s="529" t="s">
        <v>114</v>
      </c>
      <c r="B29" s="530" t="s">
        <v>2724</v>
      </c>
      <c r="C29" s="532"/>
      <c r="D29" s="533"/>
      <c r="F29" s="547" t="s">
        <v>2685</v>
      </c>
    </row>
    <row r="30" customFormat="false" ht="12.75" hidden="false" customHeight="false" outlineLevel="0" collapsed="false">
      <c r="A30" s="529" t="s">
        <v>116</v>
      </c>
      <c r="B30" s="530" t="s">
        <v>2725</v>
      </c>
      <c r="C30" s="532"/>
      <c r="D30" s="533"/>
      <c r="F30" s="548"/>
    </row>
    <row r="31" customFormat="false" ht="12.75" hidden="false" customHeight="false" outlineLevel="0" collapsed="false">
      <c r="A31" s="529" t="s">
        <v>118</v>
      </c>
      <c r="B31" s="530" t="s">
        <v>2726</v>
      </c>
      <c r="C31" s="532"/>
      <c r="D31" s="533"/>
    </row>
    <row r="32" customFormat="false" ht="12.75" hidden="false" customHeight="false" outlineLevel="0" collapsed="false">
      <c r="A32" s="529" t="s">
        <v>124</v>
      </c>
      <c r="B32" s="530" t="s">
        <v>2727</v>
      </c>
      <c r="C32" s="532"/>
      <c r="D32" s="533"/>
    </row>
    <row r="33" customFormat="false" ht="12.75" hidden="false" customHeight="false" outlineLevel="0" collapsed="false">
      <c r="A33" s="529" t="s">
        <v>129</v>
      </c>
      <c r="B33" s="530" t="s">
        <v>2728</v>
      </c>
      <c r="C33" s="532"/>
      <c r="D33" s="533"/>
    </row>
    <row r="34" customFormat="false" ht="12.75" hidden="false" customHeight="false" outlineLevel="0" collapsed="false">
      <c r="A34" s="529" t="s">
        <v>132</v>
      </c>
      <c r="B34" s="530" t="s">
        <v>2729</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2730</v>
      </c>
      <c r="C36" s="532"/>
      <c r="D36" s="533"/>
    </row>
    <row r="37" customFormat="false" ht="12.75" hidden="false" customHeight="false" outlineLevel="0" collapsed="false">
      <c r="A37" s="529" t="s">
        <v>147</v>
      </c>
      <c r="B37" s="530" t="s">
        <v>2731</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2732</v>
      </c>
      <c r="C40" s="532"/>
      <c r="D40" s="533"/>
    </row>
    <row r="41" customFormat="false" ht="12.75" hidden="false" customHeight="false" outlineLevel="0" collapsed="false">
      <c r="A41" s="531" t="s">
        <v>160</v>
      </c>
      <c r="B41" s="530" t="s">
        <v>2733</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2734</v>
      </c>
      <c r="C44" s="532"/>
      <c r="D44" s="533"/>
    </row>
    <row r="45" customFormat="false" ht="12.75" hidden="false" customHeight="false" outlineLevel="0" collapsed="false">
      <c r="A45" s="529" t="s">
        <v>170</v>
      </c>
      <c r="B45" s="530" t="s">
        <v>2735</v>
      </c>
      <c r="C45" s="532"/>
      <c r="D45" s="533"/>
    </row>
    <row r="46" customFormat="false" ht="12.75" hidden="false" customHeight="false" outlineLevel="0" collapsed="false">
      <c r="A46" s="529" t="s">
        <v>172</v>
      </c>
      <c r="B46" s="530" t="s">
        <v>2736</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2737</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2738</v>
      </c>
      <c r="C55" s="532"/>
      <c r="D55" s="533"/>
    </row>
    <row r="56" customFormat="false" ht="12.75" hidden="false" customHeight="false" outlineLevel="0" collapsed="false">
      <c r="A56" s="529" t="s">
        <v>200</v>
      </c>
      <c r="B56" s="530" t="s">
        <v>2739</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2740</v>
      </c>
      <c r="C58" s="532"/>
      <c r="D58" s="533"/>
    </row>
    <row r="59" customFormat="false" ht="12.75" hidden="false" customHeight="false" outlineLevel="0" collapsed="false">
      <c r="A59" s="529" t="s">
        <v>207</v>
      </c>
      <c r="B59" s="530" t="s">
        <v>2741</v>
      </c>
      <c r="C59" s="532"/>
      <c r="D59" s="533"/>
    </row>
    <row r="60" customFormat="false" ht="12.75" hidden="false" customHeight="false" outlineLevel="0" collapsed="false">
      <c r="A60" s="529" t="s">
        <v>209</v>
      </c>
      <c r="B60" s="530" t="s">
        <v>2742</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2743</v>
      </c>
      <c r="C63" s="532"/>
      <c r="D63" s="533"/>
    </row>
    <row r="64" customFormat="false" ht="12.75" hidden="false" customHeight="false" outlineLevel="0" collapsed="false">
      <c r="A64" s="529" t="s">
        <v>226</v>
      </c>
      <c r="B64" s="530" t="s">
        <v>2744</v>
      </c>
      <c r="C64" s="532"/>
      <c r="D64" s="533"/>
    </row>
    <row r="65" customFormat="false" ht="12.75" hidden="false" customHeight="false" outlineLevel="0" collapsed="false">
      <c r="A65" s="529" t="s">
        <v>228</v>
      </c>
      <c r="B65" s="530" t="s">
        <v>2745</v>
      </c>
      <c r="C65" s="532"/>
      <c r="D65" s="533"/>
    </row>
    <row r="66" customFormat="false" ht="12.75" hidden="false" customHeight="false" outlineLevel="0" collapsed="false">
      <c r="A66" s="531" t="s">
        <v>230</v>
      </c>
      <c r="B66" s="530" t="s">
        <v>2746</v>
      </c>
      <c r="C66" s="532"/>
      <c r="D66" s="533"/>
    </row>
    <row r="67" customFormat="false" ht="12.75" hidden="false" customHeight="false" outlineLevel="0" collapsed="false">
      <c r="A67" s="529" t="s">
        <v>232</v>
      </c>
      <c r="B67" s="530" t="s">
        <v>2747</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2748</v>
      </c>
      <c r="C70" s="532"/>
      <c r="D70" s="533"/>
    </row>
    <row r="71" customFormat="false" ht="12.75" hidden="false" customHeight="false" outlineLevel="0" collapsed="false">
      <c r="A71" s="531" t="s">
        <v>243</v>
      </c>
      <c r="B71" s="530" t="s">
        <v>2749</v>
      </c>
      <c r="C71" s="532"/>
      <c r="D71" s="533"/>
    </row>
    <row r="72" customFormat="false" ht="12.75" hidden="false" customHeight="false" outlineLevel="0" collapsed="false">
      <c r="A72" s="529" t="s">
        <v>245</v>
      </c>
      <c r="B72" s="530" t="s">
        <v>2750</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2751</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2752</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2753</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2754</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2755</v>
      </c>
      <c r="C90" s="532"/>
      <c r="D90" s="533"/>
    </row>
    <row r="91" customFormat="false" ht="12.75" hidden="false" customHeight="false" outlineLevel="0" collapsed="false">
      <c r="A91" s="529" t="s">
        <v>301</v>
      </c>
      <c r="B91" s="530" t="s">
        <v>2756</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2757</v>
      </c>
      <c r="C95" s="532"/>
      <c r="D95" s="533"/>
    </row>
    <row r="96" customFormat="false" ht="12.75" hidden="false" customHeight="false" outlineLevel="0" collapsed="false">
      <c r="A96" s="529" t="s">
        <v>338</v>
      </c>
      <c r="B96" s="550" t="s">
        <v>2758</v>
      </c>
      <c r="C96" s="532"/>
      <c r="D96" s="533"/>
    </row>
    <row r="97" customFormat="false" ht="12.75" hidden="false" customHeight="false" outlineLevel="0" collapsed="false">
      <c r="A97" s="529" t="s">
        <v>2759</v>
      </c>
      <c r="B97" s="530" t="s">
        <v>309</v>
      </c>
      <c r="C97" s="532"/>
      <c r="D97" s="533"/>
    </row>
    <row r="98" customFormat="false" ht="12.75" hidden="false" customHeight="false" outlineLevel="0" collapsed="false">
      <c r="A98" s="529" t="s">
        <v>381</v>
      </c>
      <c r="B98" s="530" t="s">
        <v>2760</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2761</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2762</v>
      </c>
      <c r="C103" s="532"/>
      <c r="D103" s="533"/>
    </row>
    <row r="104" customFormat="false" ht="12.75" hidden="false" customHeight="false" outlineLevel="0" collapsed="false">
      <c r="A104" s="529" t="s">
        <v>362</v>
      </c>
      <c r="B104" s="530" t="s">
        <v>2763</v>
      </c>
      <c r="C104" s="532"/>
      <c r="D104" s="533"/>
    </row>
    <row r="105" customFormat="false" ht="12.75" hidden="false" customHeight="false" outlineLevel="0" collapsed="false">
      <c r="A105" s="529" t="s">
        <v>364</v>
      </c>
      <c r="B105" s="530" t="s">
        <v>2764</v>
      </c>
      <c r="C105" s="532"/>
      <c r="D105" s="533"/>
    </row>
    <row r="106" customFormat="false" ht="12.75" hidden="false" customHeight="false" outlineLevel="0" collapsed="false">
      <c r="A106" s="529" t="s">
        <v>358</v>
      </c>
      <c r="B106" s="530" t="s">
        <v>2765</v>
      </c>
      <c r="C106" s="532"/>
      <c r="D106" s="533"/>
    </row>
    <row r="107" customFormat="false" ht="12.75" hidden="false" customHeight="false" outlineLevel="0" collapsed="false">
      <c r="A107" s="531" t="s">
        <v>360</v>
      </c>
      <c r="B107" s="530" t="s">
        <v>2766</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2767</v>
      </c>
      <c r="C111" s="532"/>
      <c r="D111" s="533"/>
    </row>
    <row r="112" customFormat="false" ht="12.75" hidden="false" customHeight="false" outlineLevel="0" collapsed="false">
      <c r="A112" s="531" t="s">
        <v>379</v>
      </c>
      <c r="B112" s="530" t="s">
        <v>2768</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2769</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2770</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2771</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2772</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2773</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2774</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2775</v>
      </c>
      <c r="C133" s="532"/>
      <c r="D133" s="533"/>
    </row>
    <row r="134" customFormat="false" ht="12.75" hidden="false" customHeight="false" outlineLevel="0" collapsed="false">
      <c r="A134" s="529" t="s">
        <v>413</v>
      </c>
      <c r="B134" s="530" t="s">
        <v>2776</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2777</v>
      </c>
      <c r="C136" s="532"/>
      <c r="D136" s="533"/>
    </row>
    <row r="137" customFormat="false" ht="12.75" hidden="false" customHeight="false" outlineLevel="0" collapsed="false">
      <c r="A137" s="529" t="s">
        <v>420</v>
      </c>
      <c r="B137" s="530" t="s">
        <v>2778</v>
      </c>
      <c r="C137" s="532"/>
      <c r="D137" s="533"/>
    </row>
    <row r="138" customFormat="false" ht="12.75" hidden="false" customHeight="false" outlineLevel="0" collapsed="false">
      <c r="A138" s="529" t="s">
        <v>422</v>
      </c>
      <c r="B138" s="530" t="s">
        <v>2779</v>
      </c>
      <c r="C138" s="532"/>
      <c r="D138" s="533"/>
    </row>
    <row r="139" customFormat="false" ht="12.75" hidden="false" customHeight="false" outlineLevel="0" collapsed="false">
      <c r="A139" s="529" t="s">
        <v>424</v>
      </c>
      <c r="B139" s="530" t="s">
        <v>2780</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2781</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2782</v>
      </c>
      <c r="B144" s="530" t="s">
        <v>2783</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2784</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2785</v>
      </c>
      <c r="C153" s="532"/>
      <c r="D153" s="533"/>
    </row>
    <row r="154" customFormat="false" ht="12.75" hidden="false" customHeight="false" outlineLevel="0" collapsed="false">
      <c r="A154" s="529" t="s">
        <v>476</v>
      </c>
      <c r="B154" s="530" t="s">
        <v>2786</v>
      </c>
      <c r="C154" s="532"/>
      <c r="D154" s="533"/>
    </row>
    <row r="155" customFormat="false" ht="12.75" hidden="false" customHeight="false" outlineLevel="0" collapsed="false">
      <c r="A155" s="529" t="s">
        <v>480</v>
      </c>
      <c r="B155" s="530" t="s">
        <v>2787</v>
      </c>
      <c r="C155" s="532"/>
      <c r="D155" s="533"/>
    </row>
    <row r="156" customFormat="false" ht="12.75" hidden="false" customHeight="false" outlineLevel="0" collapsed="false">
      <c r="A156" s="529" t="s">
        <v>483</v>
      </c>
      <c r="B156" s="530" t="s">
        <v>2788</v>
      </c>
      <c r="C156" s="532"/>
      <c r="D156" s="533"/>
    </row>
    <row r="157" customFormat="false" ht="12.75" hidden="false" customHeight="false" outlineLevel="0" collapsed="false">
      <c r="A157" s="531" t="s">
        <v>485</v>
      </c>
      <c r="B157" s="530" t="s">
        <v>2789</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2790</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2791</v>
      </c>
      <c r="C166" s="532"/>
      <c r="D166" s="533"/>
    </row>
    <row r="167" customFormat="false" ht="12.75" hidden="false" customHeight="false" outlineLevel="0" collapsed="false">
      <c r="A167" s="531" t="s">
        <v>508</v>
      </c>
      <c r="B167" s="530" t="s">
        <v>2792</v>
      </c>
      <c r="C167" s="532"/>
      <c r="D167" s="533"/>
    </row>
    <row r="168" customFormat="false" ht="12.75" hidden="false" customHeight="false" outlineLevel="0" collapsed="false">
      <c r="A168" s="529" t="s">
        <v>515</v>
      </c>
      <c r="B168" s="530" t="s">
        <v>2793</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2794</v>
      </c>
      <c r="C170" s="532"/>
      <c r="D170" s="533"/>
    </row>
    <row r="171" customFormat="false" ht="12.75" hidden="false" customHeight="false" outlineLevel="0" collapsed="false">
      <c r="A171" s="531" t="s">
        <v>523</v>
      </c>
      <c r="B171" s="530" t="s">
        <v>2795</v>
      </c>
      <c r="C171" s="532"/>
      <c r="D171" s="533"/>
    </row>
    <row r="172" customFormat="false" ht="12.75" hidden="false" customHeight="false" outlineLevel="0" collapsed="false">
      <c r="A172" s="529" t="s">
        <v>512</v>
      </c>
      <c r="B172" s="530" t="s">
        <v>2796</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2797</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2798</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2799</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2800</v>
      </c>
      <c r="C191" s="532"/>
      <c r="D191" s="533"/>
    </row>
    <row r="192" customFormat="false" ht="12.75" hidden="false" customHeight="false" outlineLevel="0" collapsed="false">
      <c r="A192" s="529" t="s">
        <v>594</v>
      </c>
      <c r="B192" s="530" t="s">
        <v>2801</v>
      </c>
      <c r="C192" s="532"/>
      <c r="D192" s="533"/>
    </row>
    <row r="193" customFormat="false" ht="12.75" hidden="false" customHeight="false" outlineLevel="0" collapsed="false">
      <c r="A193" s="531" t="s">
        <v>598</v>
      </c>
      <c r="B193" s="530" t="s">
        <v>2802</v>
      </c>
      <c r="C193" s="532"/>
      <c r="D193" s="533"/>
    </row>
    <row r="194" customFormat="false" ht="12.75" hidden="false" customHeight="false" outlineLevel="0" collapsed="false">
      <c r="A194" s="529" t="s">
        <v>602</v>
      </c>
      <c r="B194" s="530" t="s">
        <v>2803</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2804</v>
      </c>
      <c r="C199" s="532"/>
      <c r="D199" s="533"/>
    </row>
    <row r="200" customFormat="false" ht="12.75" hidden="false" customHeight="false" outlineLevel="0" collapsed="false">
      <c r="A200" s="529" t="s">
        <v>624</v>
      </c>
      <c r="B200" s="530" t="s">
        <v>2805</v>
      </c>
      <c r="C200" s="532"/>
      <c r="D200" s="533"/>
    </row>
    <row r="201" customFormat="false" ht="12.75" hidden="false" customHeight="false" outlineLevel="0" collapsed="false">
      <c r="A201" s="529" t="s">
        <v>638</v>
      </c>
      <c r="B201" s="530" t="s">
        <v>2806</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2807</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2808</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2809</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2810</v>
      </c>
      <c r="C225" s="532"/>
      <c r="D225" s="533"/>
    </row>
    <row r="226" customFormat="false" ht="12.75" hidden="false" customHeight="false" outlineLevel="0" collapsed="false">
      <c r="A226" s="531" t="s">
        <v>701</v>
      </c>
      <c r="B226" s="530" t="s">
        <v>2811</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2812</v>
      </c>
      <c r="C230" s="532"/>
      <c r="D230" s="533"/>
    </row>
    <row r="231" customFormat="false" ht="12.75" hidden="false" customHeight="false" outlineLevel="0" collapsed="false">
      <c r="A231" s="529" t="s">
        <v>724</v>
      </c>
      <c r="B231" s="530" t="s">
        <v>2813</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2814</v>
      </c>
      <c r="C234" s="532"/>
      <c r="D234" s="533"/>
    </row>
    <row r="235" customFormat="false" ht="12.75" hidden="false" customHeight="false" outlineLevel="0" collapsed="false">
      <c r="A235" s="529" t="s">
        <v>738</v>
      </c>
      <c r="B235" s="530" t="s">
        <v>2815</v>
      </c>
      <c r="C235" s="532"/>
      <c r="D235" s="533"/>
    </row>
    <row r="236" customFormat="false" ht="12.75" hidden="false" customHeight="false" outlineLevel="0" collapsed="false">
      <c r="A236" s="529" t="s">
        <v>740</v>
      </c>
      <c r="B236" s="530" t="s">
        <v>2816</v>
      </c>
      <c r="C236" s="532"/>
      <c r="D236" s="533"/>
    </row>
    <row r="237" customFormat="false" ht="12.75" hidden="false" customHeight="false" outlineLevel="0" collapsed="false">
      <c r="A237" s="529" t="s">
        <v>743</v>
      </c>
      <c r="B237" s="530" t="s">
        <v>2817</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2818</v>
      </c>
      <c r="C240" s="532"/>
      <c r="D240" s="533"/>
    </row>
    <row r="241" customFormat="false" ht="12.75" hidden="false" customHeight="false" outlineLevel="0" collapsed="false">
      <c r="A241" s="529" t="s">
        <v>751</v>
      </c>
      <c r="B241" s="530" t="s">
        <v>2819</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2820</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2821</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2822</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2823</v>
      </c>
      <c r="C254" s="532"/>
      <c r="D254" s="533"/>
    </row>
    <row r="255" customFormat="false" ht="12.75" hidden="false" customHeight="false" outlineLevel="0" collapsed="false">
      <c r="A255" s="529" t="s">
        <v>803</v>
      </c>
      <c r="B255" s="530" t="s">
        <v>2824</v>
      </c>
      <c r="C255" s="532"/>
      <c r="D255" s="533"/>
    </row>
    <row r="256" customFormat="false" ht="12.75" hidden="false" customHeight="false" outlineLevel="0" collapsed="false">
      <c r="A256" s="529" t="s">
        <v>790</v>
      </c>
      <c r="B256" s="530" t="s">
        <v>2825</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2826</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2827</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2828</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2829</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2830</v>
      </c>
      <c r="C281" s="532"/>
      <c r="D281" s="533"/>
    </row>
    <row r="282" customFormat="false" ht="12.75" hidden="false" customHeight="false" outlineLevel="0" collapsed="false">
      <c r="A282" s="529" t="s">
        <v>858</v>
      </c>
      <c r="B282" s="530" t="s">
        <v>2831</v>
      </c>
      <c r="C282" s="532"/>
      <c r="D282" s="533"/>
    </row>
    <row r="283" customFormat="false" ht="12.75" hidden="false" customHeight="false" outlineLevel="0" collapsed="false">
      <c r="A283" s="529" t="s">
        <v>2832</v>
      </c>
      <c r="B283" s="530" t="s">
        <v>2833</v>
      </c>
      <c r="C283" s="532"/>
      <c r="D283" s="533"/>
    </row>
    <row r="284" customFormat="false" ht="12.75" hidden="false" customHeight="false" outlineLevel="0" collapsed="false">
      <c r="A284" s="529" t="s">
        <v>863</v>
      </c>
      <c r="B284" s="530" t="s">
        <v>2834</v>
      </c>
      <c r="C284" s="532"/>
      <c r="D284" s="533"/>
    </row>
    <row r="285" customFormat="false" ht="12.75" hidden="false" customHeight="false" outlineLevel="0" collapsed="false">
      <c r="A285" s="529" t="s">
        <v>865</v>
      </c>
      <c r="B285" s="530" t="s">
        <v>2835</v>
      </c>
      <c r="C285" s="532"/>
      <c r="D285" s="533"/>
    </row>
    <row r="286" customFormat="false" ht="12.75" hidden="false" customHeight="false" outlineLevel="0" collapsed="false">
      <c r="A286" s="529" t="s">
        <v>867</v>
      </c>
      <c r="B286" s="530" t="s">
        <v>2836</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2837</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2838</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2839</v>
      </c>
      <c r="C295" s="532"/>
      <c r="D295" s="533"/>
    </row>
    <row r="296" customFormat="false" ht="12.75" hidden="false" customHeight="false" outlineLevel="0" collapsed="false">
      <c r="A296" s="529" t="s">
        <v>903</v>
      </c>
      <c r="B296" s="530" t="s">
        <v>2840</v>
      </c>
      <c r="C296" s="532"/>
      <c r="D296" s="533"/>
    </row>
    <row r="297" customFormat="false" ht="12.75" hidden="false" customHeight="false" outlineLevel="0" collapsed="false">
      <c r="A297" s="529" t="s">
        <v>905</v>
      </c>
      <c r="B297" s="530" t="s">
        <v>2841</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2842</v>
      </c>
      <c r="C300" s="532"/>
      <c r="D300" s="533"/>
    </row>
    <row r="301" customFormat="false" ht="12.75" hidden="false" customHeight="false" outlineLevel="0" collapsed="false">
      <c r="A301" s="529" t="s">
        <v>922</v>
      </c>
      <c r="B301" s="530" t="s">
        <v>2843</v>
      </c>
      <c r="C301" s="532"/>
      <c r="D301" s="533"/>
    </row>
    <row r="302" customFormat="false" ht="12.75" hidden="false" customHeight="false" outlineLevel="0" collapsed="false">
      <c r="A302" s="529" t="s">
        <v>928</v>
      </c>
      <c r="B302" s="530" t="s">
        <v>2844</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2845</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2846</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2847</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2848</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2849</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2850</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2851</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2852</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2853</v>
      </c>
      <c r="C333" s="532"/>
      <c r="D333" s="533"/>
    </row>
    <row r="334" customFormat="false" ht="12.75" hidden="false" customHeight="false" outlineLevel="0" collapsed="false">
      <c r="A334" s="529" t="s">
        <v>1022</v>
      </c>
      <c r="B334" s="530" t="s">
        <v>2854</v>
      </c>
      <c r="C334" s="532"/>
      <c r="D334" s="533"/>
    </row>
    <row r="335" customFormat="false" ht="12.75" hidden="false" customHeight="false" outlineLevel="0" collapsed="false">
      <c r="A335" s="529" t="s">
        <v>1024</v>
      </c>
      <c r="B335" s="530" t="s">
        <v>2855</v>
      </c>
      <c r="C335" s="532"/>
      <c r="D335" s="533"/>
    </row>
    <row r="336" customFormat="false" ht="12.75" hidden="false" customHeight="false" outlineLevel="0" collapsed="false">
      <c r="A336" s="531" t="s">
        <v>1026</v>
      </c>
      <c r="B336" s="530" t="s">
        <v>2856</v>
      </c>
      <c r="C336" s="532"/>
      <c r="D336" s="533"/>
    </row>
    <row r="337" customFormat="false" ht="12.75" hidden="false" customHeight="false" outlineLevel="0" collapsed="false">
      <c r="A337" s="531" t="s">
        <v>2857</v>
      </c>
      <c r="B337" s="530" t="s">
        <v>2858</v>
      </c>
      <c r="C337" s="532"/>
      <c r="D337" s="533"/>
    </row>
    <row r="338" customFormat="false" ht="12.75" hidden="false" customHeight="false" outlineLevel="0" collapsed="false">
      <c r="A338" s="529" t="s">
        <v>1032</v>
      </c>
      <c r="B338" s="530" t="s">
        <v>2859</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2860</v>
      </c>
      <c r="C340" s="532"/>
      <c r="D340" s="533"/>
    </row>
    <row r="341" customFormat="false" ht="12.75" hidden="false" customHeight="false" outlineLevel="0" collapsed="false">
      <c r="A341" s="529" t="s">
        <v>1037</v>
      </c>
      <c r="B341" s="530" t="s">
        <v>2861</v>
      </c>
      <c r="C341" s="532"/>
      <c r="D341" s="533"/>
    </row>
    <row r="342" customFormat="false" ht="12.75" hidden="false" customHeight="false" outlineLevel="0" collapsed="false">
      <c r="A342" s="531" t="s">
        <v>1040</v>
      </c>
      <c r="B342" s="530" t="s">
        <v>2862</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2863</v>
      </c>
      <c r="C352" s="532"/>
      <c r="D352" s="533"/>
    </row>
    <row r="353" customFormat="false" ht="12.75" hidden="false" customHeight="false" outlineLevel="0" collapsed="false">
      <c r="A353" s="531" t="s">
        <v>1064</v>
      </c>
      <c r="B353" s="530" t="s">
        <v>2864</v>
      </c>
      <c r="C353" s="532"/>
      <c r="D353" s="533"/>
    </row>
    <row r="354" customFormat="false" ht="12.75" hidden="false" customHeight="false" outlineLevel="0" collapsed="false">
      <c r="A354" s="529" t="s">
        <v>1100</v>
      </c>
      <c r="B354" s="530" t="s">
        <v>2865</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2866</v>
      </c>
      <c r="C357" s="532"/>
      <c r="D357" s="533"/>
    </row>
    <row r="358" customFormat="false" ht="12.75" hidden="false" customHeight="false" outlineLevel="0" collapsed="false">
      <c r="A358" s="531" t="s">
        <v>1107</v>
      </c>
      <c r="B358" s="530" t="s">
        <v>2867</v>
      </c>
      <c r="C358" s="532"/>
      <c r="D358" s="533"/>
    </row>
    <row r="359" customFormat="false" ht="12.75" hidden="false" customHeight="false" outlineLevel="0" collapsed="false">
      <c r="A359" s="529" t="s">
        <v>1066</v>
      </c>
      <c r="B359" s="530" t="s">
        <v>2868</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2869</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2870</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2871</v>
      </c>
      <c r="C373" s="532"/>
      <c r="D373" s="533"/>
    </row>
    <row r="374" customFormat="false" ht="12.75" hidden="false" customHeight="false" outlineLevel="0" collapsed="false">
      <c r="A374" s="529" t="s">
        <v>1123</v>
      </c>
      <c r="B374" s="530" t="s">
        <v>2872</v>
      </c>
      <c r="C374" s="532"/>
      <c r="D374" s="533"/>
    </row>
    <row r="375" customFormat="false" ht="12.75" hidden="false" customHeight="false" outlineLevel="0" collapsed="false">
      <c r="A375" s="529" t="s">
        <v>1131</v>
      </c>
      <c r="B375" s="530" t="s">
        <v>2873</v>
      </c>
      <c r="C375" s="532"/>
      <c r="D375" s="533"/>
    </row>
    <row r="376" customFormat="false" ht="12.75" hidden="false" customHeight="false" outlineLevel="0" collapsed="false">
      <c r="A376" s="529" t="s">
        <v>1136</v>
      </c>
      <c r="B376" s="530" t="s">
        <v>2874</v>
      </c>
      <c r="C376" s="532"/>
      <c r="D376" s="533"/>
    </row>
    <row r="377" customFormat="false" ht="12.75" hidden="false" customHeight="false" outlineLevel="0" collapsed="false">
      <c r="A377" s="529" t="s">
        <v>1138</v>
      </c>
      <c r="B377" s="530" t="s">
        <v>2875</v>
      </c>
      <c r="C377" s="532"/>
      <c r="D377" s="533"/>
    </row>
    <row r="378" customFormat="false" ht="12.75" hidden="false" customHeight="false" outlineLevel="0" collapsed="false">
      <c r="A378" s="529" t="s">
        <v>1140</v>
      </c>
      <c r="B378" s="530" t="s">
        <v>2876</v>
      </c>
      <c r="C378" s="532"/>
      <c r="D378" s="533"/>
    </row>
    <row r="379" customFormat="false" ht="12.75" hidden="false" customHeight="false" outlineLevel="0" collapsed="false">
      <c r="A379" s="529" t="s">
        <v>1142</v>
      </c>
      <c r="B379" s="530" t="s">
        <v>2877</v>
      </c>
      <c r="C379" s="532"/>
      <c r="D379" s="533"/>
    </row>
    <row r="380" customFormat="false" ht="12.75" hidden="false" customHeight="false" outlineLevel="0" collapsed="false">
      <c r="A380" s="529" t="s">
        <v>1145</v>
      </c>
      <c r="B380" s="530" t="s">
        <v>2878</v>
      </c>
      <c r="C380" s="532"/>
      <c r="D380" s="533"/>
    </row>
    <row r="381" customFormat="false" ht="12.75" hidden="false" customHeight="false" outlineLevel="0" collapsed="false">
      <c r="A381" s="529" t="s">
        <v>1147</v>
      </c>
      <c r="B381" s="530" t="s">
        <v>2879</v>
      </c>
      <c r="C381" s="532"/>
      <c r="D381" s="533"/>
    </row>
    <row r="382" customFormat="false" ht="12.75" hidden="false" customHeight="false" outlineLevel="0" collapsed="false">
      <c r="A382" s="529" t="s">
        <v>1149</v>
      </c>
      <c r="B382" s="530" t="s">
        <v>2880</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2881</v>
      </c>
      <c r="C384" s="532"/>
      <c r="D384" s="533"/>
    </row>
    <row r="385" customFormat="false" ht="12.75" hidden="false" customHeight="false" outlineLevel="0" collapsed="false">
      <c r="A385" s="529" t="s">
        <v>1134</v>
      </c>
      <c r="B385" s="530" t="s">
        <v>2882</v>
      </c>
      <c r="C385" s="532"/>
      <c r="D385" s="533"/>
    </row>
    <row r="386" customFormat="false" ht="12.75" hidden="false" customHeight="false" outlineLevel="0" collapsed="false">
      <c r="A386" s="529" t="s">
        <v>1153</v>
      </c>
      <c r="B386" s="530" t="s">
        <v>2883</v>
      </c>
      <c r="C386" s="532"/>
      <c r="D386" s="533"/>
    </row>
    <row r="387" customFormat="false" ht="12.75" hidden="false" customHeight="false" outlineLevel="0" collapsed="false">
      <c r="A387" s="529" t="s">
        <v>1155</v>
      </c>
      <c r="B387" s="530" t="s">
        <v>2884</v>
      </c>
      <c r="C387" s="532"/>
      <c r="D387" s="533"/>
    </row>
    <row r="388" customFormat="false" ht="12.75" hidden="false" customHeight="false" outlineLevel="0" collapsed="false">
      <c r="A388" s="529" t="s">
        <v>1159</v>
      </c>
      <c r="B388" s="530" t="s">
        <v>2885</v>
      </c>
      <c r="C388" s="532"/>
      <c r="D388" s="533"/>
    </row>
    <row r="389" customFormat="false" ht="12.75" hidden="false" customHeight="false" outlineLevel="0" collapsed="false">
      <c r="A389" s="529" t="s">
        <v>1125</v>
      </c>
      <c r="B389" s="530" t="s">
        <v>2886</v>
      </c>
      <c r="C389" s="532"/>
      <c r="D389" s="533"/>
    </row>
    <row r="390" customFormat="false" ht="12.75" hidden="false" customHeight="false" outlineLevel="0" collapsed="false">
      <c r="A390" s="529" t="s">
        <v>1128</v>
      </c>
      <c r="B390" s="530" t="s">
        <v>2887</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2888</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2889</v>
      </c>
      <c r="C405" s="532"/>
      <c r="D405" s="533"/>
    </row>
    <row r="406" customFormat="false" ht="12.75" hidden="false" customHeight="false" outlineLevel="0" collapsed="false">
      <c r="A406" s="529" t="s">
        <v>1161</v>
      </c>
      <c r="B406" s="530" t="s">
        <v>2890</v>
      </c>
      <c r="C406" s="532"/>
      <c r="D406" s="533"/>
    </row>
    <row r="407" customFormat="false" ht="12.75" hidden="false" customHeight="false" outlineLevel="0" collapsed="false">
      <c r="A407" s="529" t="s">
        <v>2684</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2012-11-27T09:38:44Z</cp:lastPrinted>
  <dcterms:modified xsi:type="dcterms:W3CDTF">2013-02-13T09:52:08Z</dcterms:modified>
  <cp:revision>0</cp:revision>
  <dc:subject/>
  <dc:title>Feuille d'aide au calcul de l'IBMR</dc:title>
</cp:coreProperties>
</file>