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790" sheetId="6" state="visible" r:id="rId8"/>
    <sheet name="modele" sheetId="7" state="hidden" r:id="rId9"/>
    <sheet name="liste codes réf" sheetId="8" state="hidden" r:id="rId10"/>
  </sheets>
  <definedNames>
    <definedName function="false" hidden="false" localSheetId="5" name="_xlnm.Print_Area" vbProcedure="false">'06215790'!$A$1:$O$82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'06215790'!$A$23:$J$84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<sst xmlns="http://schemas.openxmlformats.org/spreadsheetml/2006/main" count="7352" uniqueCount="2728">
  <si>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</si>
  <si>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</si>
  <si>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</si>
  <si>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</si>
  <si>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</si>
  <si>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</si>
  <si>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</si>
  <si>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</si>
  <si>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</si>
  <si>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</si>
  <si>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</si>
  <si>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</si>
  <si>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</si>
  <si>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</si>
  <si>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</si>
  <si>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</si>
  <si>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</si>
  <si>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</si>
  <si>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</si>
  <si>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</si>
  <si>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</si>
  <si>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</si>
  <si>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</si>
  <si>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</si>
  <si>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</si>
  <si>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</si>
  <si>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</si>
  <si>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</si>
  <si>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</si>
  <si>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</si>
  <si>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</si>
  <si>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</si>
  <si>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</si>
  <si>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</si>
  <si>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</si>
  <si>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</si>
  <si>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</si>
  <si>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</si>
  <si>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</si>
  <si>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</si>
  <si>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</si>
  <si>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</si>
  <si>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</si>
  <si>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</si>
  <si>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</si>
  <si>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</si>
  <si>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</si>
  <si>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</si>
  <si>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</si>
  <si>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</si>
  <si>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</si>
  <si>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</si>
  <si>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</si>
  <si>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</si>
  <si>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</si>
  <si>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</si>
  <si>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</si>
  <si>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</si>
  <si>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</si>
  <si>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</si>
  <si>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</si>
  <si>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</si>
  <si>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</si>
  <si>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</si>
  <si>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</si>
  <si>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</si>
  <si>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</si>
  <si>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</si>
  <si>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</si>
  <si>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</si>
  <si>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</si>
  <si>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</si>
  <si>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</si>
  <si>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</si>
  <si>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</si>
  <si>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</si>
  <si>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</si>
  <si>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</si>
  <si>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</si>
  <si>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</si>
  <si>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</si>
  <si>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</si>
  <si>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</si>
  <si>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</si>
  <si>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</si>
  <si>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</si>
  <si>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</si>
  <si>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</si>
  <si>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</si>
  <si>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</si>
  <si>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</si>
  <si>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</si>
  <si>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</si>
  <si>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</si>
  <si>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</si>
  <si>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</si>
  <si>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</si>
  <si>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</si>
  <si>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</si>
  <si>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</si>
  <si>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</si>
  <si>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</si>
  <si>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</si>
  <si>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</si>
  <si>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</si>
  <si>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</si>
  <si>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</si>
  <si>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</si>
  <si>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</si>
  <si>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</si>
  <si>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</si>
  <si>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</si>
  <si>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</si>
  <si>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</si>
  <si>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</si>
  <si>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</si>
  <si>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</si>
  <si>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</si>
  <si>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</si>
  <si>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</si>
  <si>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</si>
  <si>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</si>
  <si>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</si>
  <si>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</si>
  <si>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</si>
  <si>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</si>
  <si>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</si>
  <si>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</si>
  <si>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</si>
  <si>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</si>
  <si>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</si>
  <si>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</si>
  <si>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</si>
  <si>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</si>
  <si>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</si>
  <si>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</si>
  <si>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</si>
  <si>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</si>
  <si>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</si>
  <si>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</si>
  <si>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</si>
  <si>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</si>
  <si>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</si>
  <si>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</si>
  <si>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</si>
  <si>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</si>
  <si>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</si>
  <si>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</si>
  <si>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</si>
  <si>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</si>
  <si>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</si>
  <si>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</si>
  <si>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</si>
  <si>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</si>
  <si>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</si>
  <si>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</si>
  <si>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</si>
  <si>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</si>
  <si>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</si>
  <si>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</si>
  <si>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</si>
  <si>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</si>
  <si>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</si>
  <si>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</si>
  <si>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</si>
  <si>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</si>
  <si>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</si>
  <si>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</si>
  <si>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</si>
  <si>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</si>
  <si>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</si>
  <si>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</si>
  <si>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</si>
  <si>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</si>
  <si>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</si>
  <si>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</si>
  <si>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</si>
  <si>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</si>
  <si>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</si>
  <si>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</si>
  <si>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</si>
  <si>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</si>
  <si>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</si>
  <si>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</si>
  <si>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</si>
  <si>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</si>
  <si>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</si>
  <si>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</si>
  <si>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</si>
  <si>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</si>
  <si>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</si>
  <si>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</si>
  <si>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</si>
  <si>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</si>
  <si>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</si>
  <si>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</si>
  <si>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</si>
  <si>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</si>
  <si>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</si>
  <si>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</si>
  <si>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</si>
  <si>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</si>
  <si>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</si>
  <si>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</si>
  <si>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</si>
  <si>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</si>
  <si>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</si>
  <si>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</si>
  <si>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</si>
  <si>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</si>
  <si>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</si>
  <si>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</si>
  <si>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</si>
  <si>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</si>
  <si>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</si>
  <si>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</si>
  <si>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</si>
  <si>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</si>
  <si>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</si>
  <si>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</si>
  <si>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</si>
  <si>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</si>
  <si>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</si>
  <si>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</si>
  <si>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</si>
  <si>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</si>
  <si>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</si>
  <si>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</si>
  <si>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</si>
  <si>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</si>
  <si>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</si>
  <si>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</si>
  <si>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</si>
  <si>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</si>
  <si>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</si>
  <si>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</si>
  <si>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</si>
  <si>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</si>
  <si>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</si>
  <si>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</si>
  <si>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</si>
  <si>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</si>
  <si>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</si>
  <si>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</si>
  <si>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</si>
  <si>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</si>
  <si>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</si>
  <si>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</si>
  <si>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</si>
  <si>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</si>
  <si>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</si>
  <si>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</si>
  <si>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</si>
  <si>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</si>
  <si>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</si>
  <si>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</si>
  <si>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</si>
  <si>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</si>
  <si>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</si>
  <si>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</si>
  <si>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</si>
  <si>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</si>
  <si>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</si>
  <si>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</si>
  <si>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</si>
  <si>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</si>
  <si>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</si>
  <si>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</si>
  <si>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</si>
  <si>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</si>
  <si>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</si>
  <si>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</si>
  <si>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</si>
  <si>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</si>
  <si>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</si>
  <si>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</si>
  <si>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</si>
  <si>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</si>
  <si>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</si>
  <si>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</si>
  <si>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</si>
  <si>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</si>
  <si>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</si>
  <si>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</si>
  <si>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</si>
  <si>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</si>
  <si>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</si>
  <si>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</si>
  <si>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</si>
  <si>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</si>
  <si>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</si>
  <si>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</si>
  <si>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</si>
  <si>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</si>
  <si>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</si>
  <si>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</si>
  <si>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</si>
  <si>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</si>
  <si>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</si>
  <si>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</si>
  <si>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</si>
  <si>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</si>
  <si>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</si>
  <si>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</si>
  <si>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</si>
  <si>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</si>
  <si>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</si>
  <si>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</si>
  <si>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</si>
  <si>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</si>
  <si>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</si>
  <si>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</si>
  <si>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</si>
  <si>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</si>
  <si>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</si>
  <si>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</si>
  <si>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</si>
  <si>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</si>
  <si>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</si>
  <si>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</si>
  <si>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</si>
  <si>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</si>
  <si>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</si>
  <si>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</si>
  <si>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</si>
  <si>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</si>
  <si>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</si>
  <si>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</si>
  <si>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</si>
  <si>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</si>
  <si>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</si>
  <si>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</si>
  <si>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</si>
  <si>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</si>
  <si>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</si>
  <si>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</si>
  <si>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</si>
  <si>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</si>
  <si>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</si>
  <si>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</si>
  <si>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</si>
  <si>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</si>
  <si>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</si>
  <si>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</si>
  <si>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</si>
  <si>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</si>
  <si>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</si>
  <si>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</si>
  <si>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</si>
  <si>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</si>
  <si>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</si>
  <si>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</si>
  <si>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</si>
  <si>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</si>
  <si>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</si>
  <si>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</si>
  <si>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</si>
  <si>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</si>
  <si>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</si>
  <si>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</si>
  <si>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</si>
  <si>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</si>
  <si>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</si>
  <si>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</si>
  <si>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</si>
  <si>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</si>
  <si>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</si>
  <si>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</si>
  <si>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</si>
  <si>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</si>
  <si>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</si>
  <si>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</si>
  <si>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</si>
  <si>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</si>
  <si>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</si>
  <si>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</si>
  <si>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</si>
  <si>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</si>
  <si>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</si>
  <si>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</si>
  <si>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</si>
  <si>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</si>
  <si>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</si>
  <si>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</si>
  <si>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</si>
  <si>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</si>
  <si>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</si>
  <si>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</si>
  <si>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</si>
  <si>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</si>
  <si>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</si>
  <si>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</si>
  <si>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</si>
  <si>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</si>
  <si>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</si>
  <si>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</si>
  <si>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</si>
  <si>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</si>
  <si>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</si>
  <si>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</si>
  <si>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</si>
  <si>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</si>
  <si>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</si>
  <si>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</si>
  <si>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</si>
  <si>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</si>
  <si>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</si>
  <si>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</si>
  <si>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</si>
  <si>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</si>
  <si>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</si>
  <si>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</si>
  <si>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</si>
  <si>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</si>
  <si>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</si>
  <si>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</si>
  <si>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</si>
  <si>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</si>
  <si>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</si>
  <si>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</si>
  <si>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</si>
  <si>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</si>
  <si>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</si>
  <si>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</si>
  <si>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</si>
  <si>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</si>
  <si>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</si>
  <si>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</si>
  <si>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</si>
  <si>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</si>
  <si>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</si>
  <si>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</si>
  <si>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</si>
  <si>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</si>
  <si>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</si>
  <si>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</si>
  <si>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</si>
  <si>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</si>
  <si>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</si>
  <si>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</si>
  <si>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</si>
  <si>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</si>
  <si>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</si>
  <si>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</si>
  <si>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</si>
  <si>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</si>
  <si>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</si>
  <si>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</si>
  <si>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</si>
  <si>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</si>
  <si>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</si>
  <si>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</si>
  <si>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</si>
  <si>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</si>
  <si>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</si>
  <si>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</si>
  <si>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</si>
  <si>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</si>
  <si>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</si>
  <si>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</si>
  <si>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</si>
  <si>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</si>
  <si>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</si>
  <si>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</si>
  <si>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</si>
  <si>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</si>
  <si>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</si>
  <si>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</si>
  <si>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</si>
  <si>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</si>
  <si>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</si>
  <si>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</si>
  <si>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</si>
  <si>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</si>
  <si>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</si>
  <si>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</si>
  <si>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</si>
  <si>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</si>
  <si>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</si>
  <si>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</si>
  <si>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</si>
  <si>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</si>
  <si>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</si>
  <si>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</si>
  <si>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</si>
  <si>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</si>
  <si>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</si>
  <si>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</si>
  <si>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</si>
  <si>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</si>
  <si>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</si>
  <si>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</si>
  <si>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</si>
  <si>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</si>
  <si>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</si>
  <si>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</si>
  <si>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</si>
  <si>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</si>
  <si>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</si>
  <si>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</si>
  <si>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</si>
  <si>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</si>
  <si>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</si>
  <si>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</si>
  <si>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</si>
  <si>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</si>
  <si>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</si>
  <si>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</si>
  <si>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</si>
  <si>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</si>
  <si>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</si>
  <si>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</si>
  <si>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</si>
  <si>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</si>
  <si>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</si>
  <si>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</si>
  <si>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</si>
  <si>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</si>
  <si>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</si>
  <si>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</si>
  <si>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</si>
  <si>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</si>
  <si>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</si>
  <si>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</si>
  <si>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</si>
  <si>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</si>
  <si>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</si>
  <si>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</si>
  <si>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</si>
  <si>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</si>
  <si>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</si>
  <si>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</si>
  <si>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</si>
  <si>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</si>
  <si>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</si>
  <si>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</si>
  <si>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</si>
  <si>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</si>
  <si>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</si>
  <si>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</si>
  <si>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</si>
  <si>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</si>
  <si>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</si>
  <si>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</si>
  <si>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</si>
  <si>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</si>
  <si>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</si>
  <si>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</si>
  <si>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</si>
  <si>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</si>
  <si>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</si>
  <si>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</si>
  <si>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</si>
  <si>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</si>
  <si>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</si>
  <si>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</si>
  <si>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</si>
  <si>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</si>
  <si>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</si>
  <si>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</si>
  <si>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</si>
  <si>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</si>
  <si>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</si>
  <si>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</si>
  <si>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</si>
  <si>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</si>
  <si>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</si>
  <si>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</si>
  <si>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</si>
  <si>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</si>
  <si>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</si>
  <si>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</si>
  <si>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</si>
  <si>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</si>
  <si>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</si>
  <si>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</si>
  <si>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</si>
  <si>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</si>
  <si>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</si>
  <si>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</si>
  <si>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</si>
  <si>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</si>
  <si>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</si>
  <si>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</si>
  <si>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</si>
  <si>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</si>
  <si>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</si>
  <si>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</si>
  <si>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</si>
  <si>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</si>
  <si>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</si>
  <si>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</si>
  <si>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</si>
  <si>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</si>
  <si>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</si>
  <si>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</si>
  <si>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</si>
  <si>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</si>
  <si>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</si>
  <si>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</si>
  <si>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</si>
  <si>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</si>
  <si>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</si>
  <si>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</si>
  <si>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</si>
  <si>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</si>
  <si>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</si>
  <si>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</si>
  <si>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</si>
  <si>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</si>
  <si>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</si>
  <si>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</si>
  <si>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</si>
  <si>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</si>
  <si>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</si>
  <si>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</si>
  <si>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</si>
  <si>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</si>
  <si>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</si>
  <si>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</si>
  <si>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</si>
  <si>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</si>
  <si>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</si>
  <si>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</si>
  <si>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</si>
  <si>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</si>
  <si>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</si>
  <si>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</si>
  <si>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</si>
  <si>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</si>
  <si>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</si>
  <si>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</si>
  <si>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</si>
  <si>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</si>
  <si>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</si>
  <si>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</si>
  <si>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</si>
  <si>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</si>
  <si>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</si>
  <si>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</si>
  <si>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</si>
  <si>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</si>
  <si>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</si>
  <si>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</si>
  <si>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</si>
  <si>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</si>
  <si>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</si>
  <si>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</si>
  <si>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</si>
  <si>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</si>
  <si>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</si>
  <si>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</si>
  <si>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</si>
  <si>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</si>
  <si>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</si>
  <si>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</si>
  <si>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</si>
  <si>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</si>
  <si>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</si>
  <si>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</si>
  <si>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</si>
  <si>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</si>
  <si>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</si>
  <si>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</si>
  <si>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</si>
  <si>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</si>
  <si>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</si>
  <si>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</si>
  <si>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</si>
  <si>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</si>
  <si>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</si>
  <si>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</si>
  <si>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</si>
  <si>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</si>
  <si>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</si>
  <si>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</si>
  <si>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</si>
  <si>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</si>
  <si>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</si>
  <si>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</si>
  <si>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</si>
  <si>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</si>
  <si>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</si>
  <si>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</si>
  <si>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</si>
  <si>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</si>
  <si>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</si>
  <si>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</si>
  <si>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</si>
  <si>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</si>
  <si>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</si>
  <si>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</si>
  <si>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</si>
  <si>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</si>
  <si>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</si>
  <si>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</si>
  <si>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</si>
  <si>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</si>
  <si>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</si>
  <si>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</si>
  <si>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</si>
  <si>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</si>
  <si>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</si>
  <si>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</si>
  <si>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</si>
  <si>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</si>
  <si>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</si>
  <si>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</si>
  <si>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</si>
  <si>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</si>
  <si>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</si>
  <si>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</si>
  <si>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</si>
  <si>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</si>
  <si>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</si>
  <si>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</si>
  <si>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</si>
  <si>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</si>
  <si>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</si>
  <si>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</si>
  <si>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</si>
  <si>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</si>
  <si>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</si>
  <si>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</si>
  <si>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</si>
  <si>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</si>
  <si>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</si>
  <si>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</si>
  <si>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</si>
  <si>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</si>
  <si>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</si>
  <si>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</si>
  <si>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</si>
  <si>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</si>
  <si>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</si>
  <si>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</si>
  <si>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</si>
  <si>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</si>
  <si>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</si>
  <si>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</si>
  <si>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</si>
  <si>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</si>
  <si>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</si>
  <si>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</si>
  <si>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</si>
  <si>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</si>
  <si>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</si>
  <si>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</si>
  <si>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</si>
  <si>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</si>
  <si>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</si>
  <si>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</si>
  <si>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</si>
  <si>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</si>
  <si>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</si>
  <si>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</si>
  <si>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</si>
  <si>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</si>
  <si>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</si>
  <si>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</si>
  <si>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</si>
  <si>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</si>
  <si>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</si>
  <si>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</si>
  <si>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</si>
  <si>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</si>
  <si>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</si>
  <si>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</si>
  <si>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</si>
  <si>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</si>
  <si>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</si>
  <si>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</si>
  <si>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</si>
  <si>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</si>
  <si>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</si>
  <si>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</si>
  <si>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</si>
  <si>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</si>
  <si>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</si>
  <si>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</si>
  <si>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</si>
  <si>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</si>
  <si>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</si>
  <si>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</si>
  <si>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</si>
  <si>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</si>
  <si>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</si>
  <si>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</si>
  <si>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</si>
  <si>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</si>
  <si>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</si>
  <si>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</si>
  <si>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</si>
  <si>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</si>
  <si>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</si>
  <si>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</si>
  <si>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</si>
  <si>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</si>
  <si>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</si>
  <si>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</si>
  <si>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</si>
  <si>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</si>
  <si>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</si>
  <si>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</si>
  <si>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</si>
  <si>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</si>
  <si>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</si>
  <si>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</si>
  <si>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</si>
  <si>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</si>
  <si>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</si>
  <si>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</si>
  <si>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</si>
  <si>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</si>
  <si>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</si>
  <si>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</si>
  <si>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</si>
  <si>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</si>
  <si>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</si>
  <si>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</si>
  <si>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</si>
  <si>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</si>
  <si>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</si>
  <si>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</si>
  <si>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</si>
  <si>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</si>
  <si>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</si>
  <si>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</si>
  <si>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</si>
  <si>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</si>
  <si>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</si>
  <si>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</si>
  <si>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</si>
  <si>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</si>
  <si>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</si>
  <si>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</si>
  <si>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</si>
  <si>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</si>
  <si>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</si>
  <si>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</si>
  <si>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</si>
  <si>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</si>
  <si>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</si>
  <si>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</si>
  <si>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</si>
  <si>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</si>
  <si>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</si>
  <si>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</si>
  <si>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</si>
  <si>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</si>
  <si>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</si>
  <si>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</si>
  <si>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</si>
  <si>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</si>
  <si>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</si>
  <si>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</si>
  <si>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</si>
  <si>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</si>
  <si>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</si>
  <si>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</si>
  <si>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</si>
  <si>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</si>
  <si>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</si>
  <si>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</si>
  <si>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</si>
  <si>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</si>
  <si>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</si>
  <si>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</si>
  <si>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</si>
  <si>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</si>
  <si>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</si>
  <si>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</si>
  <si>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</si>
  <si>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</si>
  <si>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</si>
  <si>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</si>
  <si>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</si>
  <si>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</si>
  <si>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</si>
  <si>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</si>
  <si>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</si>
  <si>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</si>
  <si>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</si>
  <si>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</si>
  <si>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</si>
  <si>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</si>
  <si>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</si>
  <si>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</si>
  <si>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</si>
  <si>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</si>
  <si>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</si>
  <si>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</si>
  <si>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</si>
  <si>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</si>
  <si>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</si>
  <si>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</si>
  <si>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</si>
  <si>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</si>
  <si>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</si>
  <si>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</si>
  <si>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</si>
  <si>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</si>
  <si>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</si>
  <si>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</si>
  <si>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</si>
  <si>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</si>
  <si>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</si>
  <si>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</si>
  <si>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</si>
  <si>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</si>
  <si>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</si>
  <si>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</si>
  <si>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</si>
  <si>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</si>
  <si>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</si>
  <si>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</si>
  <si>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</si>
  <si>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</si>
  <si>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</si>
  <si>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</si>
  <si>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</si>
  <si>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</si>
  <si>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</si>
  <si>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</si>
  <si>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</si>
  <si>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</si>
  <si>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</si>
  <si>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</si>
  <si>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</si>
  <si>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</si>
  <si>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</si>
  <si>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</si>
  <si>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</si>
  <si>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</si>
  <si>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</si>
  <si>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</si>
  <si>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</si>
  <si>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</si>
  <si>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</si>
  <si>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</si>
  <si>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</si>
  <si>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</si>
  <si>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</si>
  <si>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</si>
  <si>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</si>
  <si>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</si>
  <si>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</si>
  <si>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</si>
  <si>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</si>
  <si>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</si>
  <si>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</si>
  <si>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</si>
  <si>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</si>
  <si>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</si>
  <si>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</si>
  <si>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</si>
  <si>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</si>
  <si>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</si>
  <si>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</si>
  <si>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</si>
  <si>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</si>
  <si>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</si>
  <si>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</si>
  <si>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</si>
  <si>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</si>
  <si>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</si>
  <si>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</si>
  <si>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</si>
  <si>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</si>
  <si>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</si>
  <si>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</si>
  <si>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</si>
  <si>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</si>
  <si>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</si>
  <si>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</si>
  <si>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</si>
  <si>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</si>
  <si>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</si>
  <si>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</si>
  <si>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</si>
  <si>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</si>
  <si>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</si>
  <si>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</si>
  <si>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</si>
  <si>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</si>
  <si>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</si>
  <si>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</si>
  <si>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</si>
  <si>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</si>
  <si>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</si>
  <si>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</si>
  <si>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</si>
  <si>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</si>
  <si>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</si>
  <si>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</si>
  <si>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</si>
  <si>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</si>
  <si>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</si>
  <si>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</si>
  <si>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</si>
  <si>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</si>
  <si>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</si>
  <si>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</si>
  <si>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</si>
  <si>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</si>
  <si>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</si>
  <si>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</si>
  <si>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</si>
  <si>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</si>
  <si>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</si>
  <si>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</si>
  <si>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</si>
  <si>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</si>
  <si>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</si>
  <si>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</si>
  <si>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</si>
  <si>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</si>
  <si>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</si>
  <si>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</si>
  <si>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</si>
  <si>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</si>
  <si>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</si>
  <si>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</si>
  <si>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</si>
  <si>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</si>
  <si>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</si>
  <si>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</si>
  <si>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</si>
  <si>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</si>
  <si>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</si>
  <si>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</si>
  <si>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</si>
  <si>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</si>
  <si>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</si>
  <si>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</si>
  <si>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</si>
  <si>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</si>
  <si>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</si>
  <si>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</si>
  <si>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</si>
  <si>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</si>
  <si>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</si>
  <si>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</si>
  <si>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</si>
  <si>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</si>
  <si>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</si>
  <si>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</si>
  <si>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</si>
  <si>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</si>
  <si>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</si>
  <si>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</si>
  <si>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</si>
  <si>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</si>
  <si>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</si>
  <si>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</si>
  <si>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</si>
  <si>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</si>
  <si>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</si>
  <si>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</si>
  <si>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</si>
  <si>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</si>
  <si>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</si>
  <si>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</si>
  <si>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</si>
  <si>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</si>
  <si>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</si>
  <si>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</si>
  <si>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</si>
  <si>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</si>
  <si>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</si>
  <si>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</si>
  <si>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</si>
  <si>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</si>
  <si>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</si>
  <si>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</si>
  <si>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</si>
  <si>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</si>
  <si>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</si>
  <si>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</si>
  <si>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</si>
  <si>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</si>
  <si>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</si>
  <si>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</si>
  <si>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</si>
  <si>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</si>
  <si>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</si>
  <si>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</si>
  <si>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</si>
  <si>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</si>
  <si>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</si>
  <si>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</si>
  <si>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</si>
  <si>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</si>
  <si>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</si>
  <si>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</si>
  <si>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</si>
  <si>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</si>
  <si>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</si>
  <si>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</si>
  <si>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</si>
  <si>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</si>
  <si>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</si>
  <si>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</si>
  <si>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</si>
  <si>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</si>
  <si>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</si>
  <si>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</si>
  <si>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</si>
  <si>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</si>
  <si>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</si>
  <si>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</si>
  <si>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</si>
  <si>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</si>
  <si>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</si>
  <si>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</si>
  <si>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</si>
  <si>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</si>
  <si>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</si>
  <si>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</si>
  <si>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</si>
  <si>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</si>
  <si>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</si>
  <si>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</si>
  <si>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</si>
  <si>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</si>
  <si>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</si>
  <si>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</si>
  <si>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</si>
  <si>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</si>
  <si>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</si>
  <si>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</si>
  <si>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</si>
  <si>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</si>
  <si>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</si>
  <si>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</si>
  <si>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</si>
  <si>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</si>
  <si>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</si>
  <si>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</si>
  <si>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</si>
  <si>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</si>
  <si>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</si>
  <si>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</si>
  <si>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</si>
  <si>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</si>
  <si>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</si>
  <si>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</si>
  <si>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</si>
  <si>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</si>
  <si>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</si>
  <si>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</si>
  <si>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</si>
  <si>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</si>
  <si>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</si>
  <si>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</si>
  <si>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</si>
  <si>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</si>
  <si>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</si>
  <si>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</si>
  <si>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</si>
  <si>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</si>
  <si>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</si>
  <si>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</si>
  <si>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</si>
  <si>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</si>
  <si>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</si>
  <si>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</si>
  <si>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</si>
  <si>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</si>
  <si>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</si>
  <si>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</si>
  <si>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</si>
  <si>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</si>
  <si>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</si>
  <si>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</si>
  <si>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</si>
  <si>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</si>
  <si>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</si>
  <si>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</si>
  <si>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</si>
  <si>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</si>
  <si>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</si>
  <si>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</si>
  <si>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</si>
  <si>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</si>
  <si>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</si>
  <si>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</si>
  <si>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</si>
  <si>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</si>
  <si>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</si>
  <si>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</si>
  <si>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</si>
  <si>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</si>
  <si>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</si>
  <si>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</si>
  <si>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</si>
  <si>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</si>
  <si>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</si>
  <si>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</si>
  <si>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</si>
  <si>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</si>
  <si>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</si>
  <si>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</si>
  <si>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</si>
  <si>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</si>
  <si>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</si>
  <si>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</si>
  <si>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</si>
  <si>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</si>
  <si>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</si>
  <si>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</si>
  <si>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</si>
  <si>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</si>
  <si>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</si>
  <si>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</si>
  <si>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</si>
  <si>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</si>
  <si>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</si>
  <si>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</si>
  <si>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</si>
  <si>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</si>
  <si>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</si>
  <si>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</si>
  <si>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</si>
  <si>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</si>
  <si>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</si>
  <si>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</si>
  <si>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</si>
  <si>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</si>
  <si>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</si>
  <si>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</si>
  <si>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</si>
  <si>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</si>
  <si>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</si>
  <si>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</si>
  <si>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</si>
  <si>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</si>
  <si>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</si>
  <si>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</si>
  <si>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</si>
  <si>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</si>
  <si>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</si>
  <si>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</si>
  <si>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</si>
  <si>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</si>
  <si>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</si>
  <si>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</si>
  <si>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</si>
  <si>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</si>
  <si>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</si>
  <si>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</si>
  <si>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</si>
  <si>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</si>
  <si>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</si>
  <si>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</si>
  <si>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</si>
  <si>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</si>
  <si>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</si>
  <si>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</si>
  <si>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</si>
  <si>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</si>
  <si>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</si>
  <si>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</si>
  <si>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</si>
  <si>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</si>
  <si>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</si>
  <si>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</si>
  <si>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</si>
  <si>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</si>
  <si>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</si>
  <si>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</si>
  <si>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</si>
  <si>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</si>
  <si>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</si>
  <si>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</si>
  <si>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</si>
  <si>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</si>
  <si>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</si>
  <si>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</si>
  <si>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</si>
  <si>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</si>
  <si>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</si>
  <si>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</si>
  <si>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</si>
  <si>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</si>
  <si>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</si>
  <si>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</si>
  <si>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</si>
  <si>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</si>
  <si>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</si>
  <si>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</si>
  <si>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</si>
  <si>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</si>
  <si>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</si>
  <si>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</si>
  <si>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</si>
  <si>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</si>
  <si>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</si>
  <si>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</si>
  <si>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</si>
  <si>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</si>
  <si>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</si>
  <si>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</si>
  <si>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</si>
  <si>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</si>
  <si>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</si>
  <si>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</si>
  <si>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</si>
  <si>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</si>
  <si>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</si>
  <si>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</si>
  <si>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</si>
  <si>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</si>
  <si>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</si>
  <si>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</si>
  <si>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</si>
  <si>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</si>
  <si>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</si>
  <si>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</si>
  <si>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</si>
  <si>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</si>
  <si>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</si>
  <si>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</si>
  <si>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</si>
  <si>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</si>
  <si>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</si>
  <si>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</si>
  <si>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</si>
  <si>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</si>
  <si>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</si>
  <si>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</si>
  <si>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</si>
  <si>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</si>
  <si>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</si>
  <si>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</si>
  <si>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</si>
  <si>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</si>
  <si>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</si>
  <si>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</si>
  <si>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</si>
  <si>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</si>
  <si>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</si>
  <si>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</si>
  <si>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</si>
  <si>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</si>
  <si>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</si>
  <si>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</si>
  <si>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</si>
  <si>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</si>
  <si>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</si>
  <si>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</si>
  <si>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</si>
  <si>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</si>
  <si>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</si>
  <si>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</si>
  <si>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</si>
  <si>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</si>
  <si>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</si>
  <si>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</si>
  <si>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</si>
  <si>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</si>
  <si>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</si>
  <si>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</si>
  <si>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</si>
  <si>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</si>
  <si>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</si>
  <si>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</si>
  <si>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</si>
  <si>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</si>
  <si>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</si>
  <si>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</si>
  <si>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</si>
  <si>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</si>
  <si>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</si>
  <si>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</si>
  <si>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</si>
  <si>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</si>
  <si>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</si>
  <si>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</si>
  <si>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</si>
  <si>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</si>
  <si>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</si>
  <si>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</si>
  <si>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</si>
  <si>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</si>
  <si>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</si>
  <si>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</si>
  <si>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</si>
  <si>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</si>
  <si>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</si>
  <si>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</si>
  <si>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</si>
  <si>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</si>
  <si>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</si>
  <si>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</si>
  <si>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</si>
  <si>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</si>
  <si>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</si>
  <si>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</si>
  <si>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</si>
  <si>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</si>
  <si>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</si>
  <si>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</si>
  <si>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</si>
  <si>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</si>
  <si>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</si>
  <si>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</si>
  <si>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</si>
  <si>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</si>
  <si>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</si>
  <si>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</si>
  <si>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</si>
  <si>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</si>
  <si>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</si>
  <si>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</si>
  <si>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</si>
  <si>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</si>
  <si>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</si>
  <si>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</si>
  <si>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</si>
  <si>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</si>
  <si>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</si>
  <si>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</si>
  <si>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</si>
  <si>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</si>
  <si>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</si>
  <si>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</si>
  <si>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</si>
  <si>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</si>
  <si>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</si>
  <si>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</si>
  <si>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</si>
  <si>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</si>
  <si>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</si>
  <si>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</si>
  <si>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</si>
  <si>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</si>
  <si>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</si>
  <si>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</si>
  <si>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</si>
  <si>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</si>
  <si>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</si>
  <si>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</si>
  <si>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</si>
  <si>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</si>
  <si>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</si>
  <si>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</si>
  <si>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</si>
  <si>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</si>
  <si>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</si>
  <si>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</si>
  <si>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</si>
  <si>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</si>
  <si>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</si>
  <si>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</si>
  <si>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</si>
  <si>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</si>
  <si>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</si>
  <si>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</si>
  <si>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</si>
  <si>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</si>
  <si>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</si>
  <si>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</si>
  <si>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</si>
  <si>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</si>
  <si>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</si>
  <si>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</si>
  <si>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</si>
  <si>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</si>
  <si>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</si>
  <si>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</si>
  <si>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</si>
  <si>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</si>
  <si>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</si>
  <si>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</si>
  <si>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</si>
  <si>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</si>
  <si>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</si>
  <si>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</si>
  <si>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</si>
  <si>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</si>
  <si>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</si>
  <si>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</si>
  <si>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</si>
  <si>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</si>
  <si>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</si>
  <si>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</si>
  <si>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</si>
  <si>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</si>
  <si>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</si>
  <si>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</si>
  <si>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</si>
  <si>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</si>
  <si>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</si>
  <si>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</si>
  <si>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</si>
  <si>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</si>
  <si>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</si>
  <si>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</si>
  <si>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</si>
  <si>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</si>
  <si>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</si>
  <si>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</si>
  <si>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</si>
  <si>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</si>
  <si>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</si>
  <si>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</si>
  <si>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</si>
  <si>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</si>
  <si>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</si>
  <si>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</si>
  <si>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</si>
  <si>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</si>
  <si>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</si>
  <si>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</si>
  <si>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</si>
  <si>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</si>
  <si>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</si>
  <si>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</si>
  <si>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</si>
  <si>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</si>
  <si>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</si>
  <si>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</si>
  <si>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</si>
  <si>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</si>
  <si>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</si>
  <si>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</si>
  <si>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</si>
  <si>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</si>
  <si>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</si>
  <si>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</si>
  <si>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</si>
  <si>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</si>
  <si>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</si>
  <si>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</si>
  <si>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</si>
  <si>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</si>
  <si>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</si>
  <si>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</si>
  <si>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</si>
  <si>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</si>
  <si>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</si>
  <si>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</si>
  <si>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</si>
  <si>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</si>
  <si>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</si>
  <si>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</si>
  <si>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</si>
  <si>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</si>
  <si>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</si>
  <si>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</si>
  <si>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</si>
  <si>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</si>
  <si>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</si>
  <si>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</si>
  <si>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</si>
  <si>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</si>
  <si>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</si>
  <si>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</si>
  <si>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</si>
  <si>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</si>
  <si>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</si>
  <si>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</si>
  <si>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</si>
  <si>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</si>
  <si>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</si>
  <si>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</si>
  <si>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</si>
  <si>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</si>
  <si>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</si>
  <si>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</si>
  <si>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</si>
  <si>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</si>
  <si>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</si>
  <si>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</si>
  <si>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</si>
  <si>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</si>
  <si>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</si>
  <si>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</si>
  <si>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</si>
  <si>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</si>
  <si>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</si>
  <si>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</si>
  <si>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</si>
  <si>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</si>
  <si>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</si>
  <si>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</si>
  <si>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</si>
  <si>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</si>
  <si>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</si>
  <si>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</si>
  <si>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</si>
  <si>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</si>
  <si>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</si>
  <si>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</si>
  <si>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</si>
  <si>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</si>
  <si>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</si>
  <si>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</si>
  <si>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</si>
  <si>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</si>
  <si>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</si>
  <si>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</si>
  <si>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</si>
  <si>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</si>
  <si>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</si>
  <si>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</si>
  <si>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</si>
  <si>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</si>
  <si>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</si>
  <si>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</si>
  <si>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</si>
  <si>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</si>
  <si>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</si>
  <si>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</si>
  <si>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</si>
  <si>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</si>
  <si>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</si>
  <si>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</si>
  <si>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</si>
  <si>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</si>
  <si>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</si>
  <si>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</si>
  <si>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</si>
  <si>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</si>
  <si>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</si>
  <si>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</si>
  <si>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</si>
  <si>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</si>
  <si>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</si>
  <si>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</si>
  <si>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</si>
  <si>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</si>
  <si>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</si>
  <si>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</si>
  <si>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</si>
  <si>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</si>
  <si>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</si>
  <si>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</si>
  <si>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</si>
  <si>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</si>
  <si>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</si>
  <si>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</si>
  <si>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</si>
  <si>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</si>
  <si>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</si>
  <si>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</si>
  <si>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</si>
  <si>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</si>
  <si>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</si>
  <si>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</si>
  <si>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</si>
  <si>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</si>
  <si>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</si>
  <si>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</si>
  <si>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</si>
  <si>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</si>
  <si>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</si>
  <si>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</si>
  <si>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</si>
  <si>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</si>
  <si>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</si>
  <si>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</si>
  <si>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</si>
  <si>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</si>
  <si>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</si>
  <si>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</si>
  <si>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</si>
  <si>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</si>
  <si>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</si>
  <si>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</si>
  <si>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</si>
  <si>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</si>
  <si>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</si>
  <si>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</si>
  <si>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</si>
  <si>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</si>
  <si>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</si>
  <si>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</si>
  <si>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</si>
  <si>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</si>
  <si>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</si>
  <si>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</si>
  <si>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</si>
  <si>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</si>
  <si>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</si>
  <si>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</si>
  <si>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</si>
  <si>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</si>
  <si>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</si>
  <si>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</si>
  <si>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</si>
  <si>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</si>
  <si>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</si>
  <si>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</si>
  <si>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</si>
  <si>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</si>
  <si>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</si>
  <si>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</si>
  <si>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</si>
  <si>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</si>
  <si>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</si>
  <si>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</si>
  <si>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</si>
  <si>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</si>
  <si>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</si>
  <si>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</si>
  <si>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</si>
  <si>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</si>
  <si>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</si>
  <si>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</si>
  <si>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</si>
  <si>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</si>
  <si>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</si>
  <si>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</si>
  <si>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</si>
  <si>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</si>
  <si>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</si>
  <si>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</si>
  <si>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</si>
  <si>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</si>
  <si>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</si>
  <si>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</si>
  <si>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</si>
  <si>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</si>
  <si>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</si>
  <si>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</si>
  <si>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</si>
  <si>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</si>
  <si>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</si>
  <si>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</si>
  <si>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</si>
  <si>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</si>
  <si>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</si>
  <si>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</si>
  <si>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</si>
  <si>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</si>
  <si>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</si>
  <si>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</si>
  <si>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</si>
  <si>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</si>
  <si>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</si>
  <si>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</si>
  <si>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</si>
  <si>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</si>
  <si>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</si>
  <si>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</si>
  <si>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</si>
  <si>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</si>
  <si>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</si>
  <si>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</si>
  <si>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</si>
  <si>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</si>
  <si>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</si>
  <si>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</si>
  <si>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</si>
  <si>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</si>
  <si>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</si>
  <si>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</si>
  <si>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</si>
  <si>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</si>
  <si>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</si>
  <si>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</si>
  <si>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</si>
  <si>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</si>
  <si>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</si>
  <si>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</si>
  <si>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</si>
  <si>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</si>
  <si>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</si>
  <si>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</si>
  <si>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</si>
  <si>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</si>
  <si>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</si>
  <si>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</si>
  <si>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</si>
  <si>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</si>
  <si>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</si>
  <si>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</si>
  <si>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</si>
  <si>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</si>
  <si>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</si>
  <si>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</si>
  <si>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</si>
  <si>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</si>
  <si>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</si>
  <si>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</si>
  <si>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</si>
  <si>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</si>
  <si>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</si>
  <si>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</si>
  <si>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</si>
  <si>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</si>
  <si>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</si>
  <si>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</si>
  <si>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</si>
  <si>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</si>
  <si>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</si>
  <si>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</si>
  <si>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</si>
  <si>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</si>
  <si>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</si>
  <si>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</si>
  <si>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</si>
  <si>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</si>
  <si>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</si>
  <si>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</si>
  <si>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</si>
  <si>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</si>
  <si>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</si>
  <si>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</si>
  <si>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</si>
  <si>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</si>
  <si>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</si>
  <si>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</si>
  <si>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</si>
  <si>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</si>
  <si>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</si>
  <si>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</si>
  <si>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</si>
  <si>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</si>
  <si>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</si>
  <si>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</si>
  <si>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</si>
  <si>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</si>
  <si>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</si>
  <si>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</si>
  <si>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</si>
  <si>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</si>
  <si>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</si>
  <si>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</si>
  <si>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</si>
  <si>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</si>
  <si>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</si>
  <si>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</si>
  <si>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</si>
  <si>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</si>
  <si>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</si>
  <si>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</si>
  <si>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</si>
  <si>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</si>
  <si>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</si>
  <si>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</si>
  <si>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</si>
  <si>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</si>
  <si>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</si>
  <si>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</si>
  <si>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</si>
  <si>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</si>
  <si>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</si>
  <si>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</si>
  <si>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</si>
  <si>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</si>
  <si>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</si>
  <si>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</si>
  <si>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</si>
  <si>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</si>
  <si>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</si>
  <si>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</si>
  <si>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</si>
  <si>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</si>
  <si>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</si>
  <si>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</si>
  <si>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</si>
  <si>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</si>
  <si>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</si>
  <si>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</si>
  <si>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</si>
  <si>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</si>
  <si>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</si>
  <si>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</si>
  <si>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</si>
  <si>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</si>
  <si>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</si>
  <si>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</si>
  <si>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</si>
  <si>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</si>
  <si>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</si>
  <si>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</si>
  <si>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</si>
  <si>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</si>
  <si>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</si>
  <si>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</si>
  <si>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</si>
  <si>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</si>
  <si>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</si>
  <si>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</si>
  <si>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</si>
  <si>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</si>
  <si>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</si>
  <si>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</si>
  <si>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</si>
  <si>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</si>
  <si>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</si>
  <si>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</si>
  <si>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</si>
  <si>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</si>
  <si>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</si>
  <si>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</si>
  <si>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</si>
  <si>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</si>
  <si>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</si>
  <si>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</si>
  <si>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</si>
  <si>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</si>
  <si>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</si>
  <si>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</si>
  <si>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</si>
  <si>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</si>
  <si>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</si>
  <si>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</si>
  <si>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</si>
  <si>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</si>
  <si>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</si>
  <si>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</si>
  <si>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</si>
  <si>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</si>
  <si>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</si>
  <si>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</si>
  <si>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</si>
  <si>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</si>
  <si>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</si>
  <si>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</si>
  <si>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</si>
  <si>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</si>
  <si>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</si>
  <si>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</si>
  <si>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</si>
  <si>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</si>
  <si>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</si>
  <si>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</si>
  <si>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</si>
  <si>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</si>
  <si>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</si>
  <si>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</si>
  <si>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</si>
  <si>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</si>
  <si>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</si>
  <si>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</si>
  <si>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</si>
  <si>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</si>
  <si>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</si>
  <si>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</si>
  <si>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</si>
  <si>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</si>
  <si>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</si>
  <si>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</si>
  <si>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</si>
  <si>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</si>
  <si>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</si>
  <si>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</si>
  <si>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</si>
  <si>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</si>
  <si>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</si>
  <si>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</si>
  <si>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</si>
  <si>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</si>
  <si>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</si>
  <si>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</si>
  <si>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</si>
  <si>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</si>
  <si>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</si>
  <si>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</si>
  <si>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</si>
  <si>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</si>
  <si>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</si>
  <si>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</si>
  <si>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</si>
  <si>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</si>
  <si>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</si>
  <si>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</si>
  <si>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</si>
  <si>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</si>
  <si>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</si>
  <si>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</si>
  <si>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</si>
  <si>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</si>
  <si>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</si>
  <si>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</si>
  <si>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</si>
  <si>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</si>
  <si>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</si>
  <si>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</si>
  <si>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</si>
  <si>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</si>
  <si>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</si>
  <si>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</si>
  <si>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</si>
  <si>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</si>
  <si>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</si>
  <si>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</si>
  <si>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</si>
  <si>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</si>
  <si>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</si>
  <si>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</si>
  <si>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</si>
  <si>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</si>
  <si>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</si>
  <si>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</si>
  <si>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</si>
  <si>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</si>
  <si>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</si>
  <si>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</si>
  <si>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</si>
  <si>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</si>
  <si>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</si>
  <si>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</si>
  <si>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</si>
  <si>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</si>
  <si>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</si>
  <si>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</si>
  <si>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</si>
  <si>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</si>
  <si>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</si>
  <si>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</si>
  <si>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</si>
  <si>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</si>
  <si>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</si>
  <si>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</si>
  <si>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</si>
  <si>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</si>
  <si>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</si>
  <si>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</si>
  <si>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</si>
  <si>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</si>
  <si>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</si>
  <si>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</si>
  <si>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</si>
  <si>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</si>
  <si>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</si>
  <si>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</si>
  <si>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</si>
  <si>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</si>
  <si>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</si>
  <si>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</si>
  <si>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</si>
  <si>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</si>
  <si>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</si>
  <si>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</si>
  <si>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</si>
  <si>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</si>
  <si>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</si>
  <si>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</si>
  <si>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</si>
  <si>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</si>
  <si>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</si>
  <si>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</si>
  <si>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</si>
  <si>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</si>
  <si>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</si>
  <si>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</si>
  <si>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</si>
  <si>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</si>
  <si>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</si>
  <si>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</si>
  <si>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</si>
  <si>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</si>
  <si>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</si>
  <si>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</si>
  <si>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</si>
  <si>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</si>
  <si>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</si>
  <si>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</si>
  <si>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</si>
  <si>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</si>
  <si>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</si>
  <si>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</si>
  <si>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</si>
  <si>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</si>
  <si>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</si>
  <si>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</si>
  <si>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</si>
  <si>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</si>
  <si>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</si>
  <si>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</si>
  <si>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</si>
  <si>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</si>
  <si>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</si>
  <si>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</si>
  <si>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</si>
  <si>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</si>
  <si>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</si>
  <si>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</si>
  <si>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</si>
  <si>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</si>
  <si>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</si>
  <si>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</si>
  <si>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</si>
  <si>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</si>
  <si>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</si>
  <si>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</si>
  <si>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</si>
  <si>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</si>
  <si>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</si>
  <si>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</si>
  <si>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</si>
  <si>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</si>
  <si>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</si>
  <si>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</si>
  <si>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</si>
  <si>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</si>
  <si>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</si>
  <si>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</si>
  <si>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</si>
  <si>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</si>
  <si>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</si>
  <si>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</si>
  <si>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</si>
  <si>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</si>
  <si>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</si>
  <si>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</si>
  <si>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</si>
  <si>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</si>
  <si>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</si>
  <si>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</si>
  <si>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</si>
  <si>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</si>
  <si>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</si>
  <si>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</si>
  <si>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</si>
  <si>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</si>
  <si>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</si>
  <si>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</si>
  <si>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</si>
  <si>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</si>
  <si>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</si>
  <si>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</si>
  <si>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</si>
  <si>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</si>
  <si>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</si>
  <si>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</si>
  <si>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</si>
  <si>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</si>
  <si>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</si>
  <si>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</si>
  <si>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</si>
  <si>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</si>
  <si>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</si>
  <si>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</si>
  <si>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</si>
  <si>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</si>
  <si>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</si>
  <si>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</si>
  <si>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</si>
  <si>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</si>
  <si>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</si>
  <si>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</si>
  <si>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</si>
  <si>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</si>
  <si>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</si>
  <si>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</si>
  <si>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</si>
  <si>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</si>
  <si>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</si>
  <si>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</si>
  <si>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</si>
  <si>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</si>
  <si>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</si>
  <si>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</si>
  <si>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</si>
  <si>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</si>
  <si>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</si>
  <si>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</si>
  <si>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</si>
  <si>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</si>
  <si>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</si>
  <si>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</si>
  <si>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</si>
  <si>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</si>
  <si>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</si>
  <si>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</si>
  <si>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</si>
  <si>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</si>
  <si>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</si>
  <si>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</si>
  <si>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</si>
  <si>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</si>
  <si>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</si>
  <si>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</si>
  <si>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</si>
  <si>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</si>
  <si>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</si>
  <si>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</si>
  <si>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</si>
  <si>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</si>
  <si>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</si>
  <si>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</si>
  <si>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</si>
  <si>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</si>
  <si>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</si>
  <si>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</si>
  <si>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</si>
  <si>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</si>
  <si>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</si>
  <si>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</si>
  <si>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</si>
  <si>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</si>
  <si>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</si>
  <si>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</si>
  <si>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</si>
  <si>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</si>
  <si>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</si>
  <si>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</si>
  <si>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</si>
  <si>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</si>
  <si>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</si>
  <si>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</si>
  <si>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</si>
  <si>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</si>
  <si>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</si>
  <si>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</si>
  <si>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</si>
  <si>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</si>
  <si>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</si>
  <si>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</si>
  <si>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</si>
  <si>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</si>
  <si>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</si>
  <si>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</si>
  <si>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</si>
  <si>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</si>
  <si>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</si>
  <si>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</si>
  <si>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</si>
  <si>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</si>
  <si>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</si>
  <si>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</si>
  <si>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</si>
  <si>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</si>
  <si>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</si>
  <si>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</si>
  <si>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</si>
  <si>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</si>
  <si>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</si>
  <si>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</si>
  <si>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</si>
  <si>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</si>
  <si>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</si>
  <si>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</si>
  <si>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</si>
  <si>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</si>
  <si>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</si>
  <si>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</si>
  <si>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</si>
  <si>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</si>
  <si>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</si>
  <si>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</si>
  <si>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</si>
  <si>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</si>
  <si>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</si>
  <si>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</si>
  <si>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</si>
  <si>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</si>
  <si>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</si>
  <si>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</si>
  <si>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</si>
  <si>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</si>
  <si>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</si>
  <si>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</si>
  <si>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</si>
  <si>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</si>
  <si>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</si>
  <si>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</si>
  <si>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</si>
  <si>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</si>
  <si>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</si>
  <si>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</si>
  <si>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</si>
  <si>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</si>
  <si>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</si>
  <si>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</si>
  <si>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</si>
  <si>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</si>
  <si>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</si>
  <si>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</si>
  <si>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</si>
  <si>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</si>
  <si>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</si>
  <si>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</si>
  <si>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</si>
  <si>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</si>
  <si>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</si>
  <si>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</si>
  <si>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</si>
  <si>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</si>
  <si>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</si>
  <si>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</si>
  <si>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</si>
  <si>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</si>
  <si>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</si>
  <si>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</si>
  <si>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</si>
  <si>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</si>
  <si>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</si>
  <si>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</si>
  <si>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</si>
  <si>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</si>
  <si>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</si>
  <si>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</si>
  <si>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</si>
  <si>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</si>
  <si>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</si>
  <si>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</si>
  <si>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</si>
  <si>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</si>
  <si>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</si>
  <si>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</si>
  <si>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</si>
  <si>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</si>
  <si>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</si>
  <si>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</si>
  <si>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</si>
  <si>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</si>
  <si>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</si>
  <si>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</si>
  <si>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</si>
  <si>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</si>
  <si>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</si>
  <si>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</si>
  <si>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</si>
  <si>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</si>
  <si>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</si>
  <si>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</si>
  <si>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</si>
  <si>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</si>
  <si>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</si>
  <si>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</si>
  <si>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</si>
  <si>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</si>
  <si>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</si>
  <si>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</si>
  <si>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</si>
  <si>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</si>
  <si>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</si>
  <si>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</si>
  <si>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</si>
  <si>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</si>
  <si>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</si>
  <si>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</si>
  <si>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</si>
  <si>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</si>
  <si>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</si>
  <si>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</si>
  <si>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</si>
  <si>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</si>
  <si>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</si>
  <si>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</si>
  <si>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</si>
  <si>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</si>
  <si>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</si>
  <si>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</si>
  <si>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</si>
  <si>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</si>
  <si>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</si>
  <si>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</si>
  <si>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</si>
  <si>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</si>
  <si>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</si>
  <si>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</si>
  <si>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</si>
  <si>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</si>
  <si>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</si>
  <si>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</si>
  <si>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</si>
  <si>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</si>
  <si>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</si>
  <si>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</si>
  <si>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</si>
  <si>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</si>
  <si>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</si>
  <si>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</si>
  <si>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</si>
  <si>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</si>
  <si>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</si>
  <si>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</si>
  <si>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</si>
  <si>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</si>
  <si>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</si>
  <si>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</si>
  <si>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</si>
  <si>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</si>
  <si>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</si>
  <si>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</si>
  <si>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</si>
  <si>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</si>
  <si>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</si>
  <si>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</si>
  <si>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</si>
  <si>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</si>
  <si>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</si>
  <si>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</si>
  <si>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</si>
  <si>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</si>
  <si>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</si>
  <si>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</si>
  <si>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</si>
  <si>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</si>
  <si>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</si>
  <si>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</si>
  <si>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</si>
  <si>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</si>
  <si>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</si>
  <si>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</si>
  <si>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</si>
  <si>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</si>
  <si>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</si>
  <si>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</si>
  <si>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</si>
  <si>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</si>
  <si>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</si>
  <si>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</si>
  <si>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</si>
  <si>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</si>
  <si>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</si>
  <si>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</si>
  <si>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</si>
  <si>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</si>
  <si>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</si>
  <si>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</si>
  <si>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</si>
  <si>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</si>
  <si>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</si>
  <si>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</si>
  <si>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</si>
  <si>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</si>
  <si>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</si>
  <si>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</si>
  <si>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</si>
  <si>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</si>
  <si>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</si>
  <si>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</si>
  <si>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</si>
  <si>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</si>
  <si>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</si>
  <si>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</si>
  <si>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</si>
  <si>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</si>
  <si>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</si>
  <si>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</si>
  <si>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</si>
  <si>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</si>
  <si>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</si>
  <si>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</si>
  <si>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</si>
  <si>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</si>
  <si>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</si>
  <si>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</si>
  <si>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</si>
  <si>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</si>
  <si>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</si>
  <si>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</si>
  <si>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</si>
  <si>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</si>
  <si>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</si>
  <si>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</si>
  <si>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</si>
  <si>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</si>
  <si>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</si>
  <si>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</si>
  <si>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</si>
  <si>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</si>
  <si>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</si>
  <si>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</si>
  <si>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</si>
  <si>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</si>
  <si>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</si>
  <si>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</si>
  <si>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</si>
  <si>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</si>
  <si>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</si>
  <si>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</si>
  <si>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</si>
  <si>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</si>
  <si>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</si>
  <si>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</si>
  <si>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</si>
  <si>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</si>
  <si>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</si>
  <si>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</si>
  <si>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</si>
  <si>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</si>
  <si>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</si>
  <si>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</si>
  <si>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</si>
  <si>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</si>
  <si>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</si>
  <si>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</si>
  <si>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</si>
  <si>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</si>
  <si>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</si>
  <si>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</si>
  <si>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</si>
  <si>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</si>
  <si>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</si>
  <si>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</si>
  <si>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</si>
  <si>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</si>
  <si>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</si>
  <si>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</si>
  <si>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</si>
  <si>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</si>
  <si>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</si>
  <si>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</si>
  <si>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</si>
  <si>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</si>
  <si>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</si>
  <si>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</si>
  <si>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</si>
  <si>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</si>
  <si>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</si>
  <si>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</si>
  <si>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</si>
  <si>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</si>
  <si>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</si>
  <si>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</si>
  <si>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</si>
  <si>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</si>
  <si>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</si>
  <si>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</si>
  <si>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</si>
  <si>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</si>
  <si>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</si>
  <si>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</si>
  <si>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</si>
  <si>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</si>
  <si>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</si>
  <si>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</si>
  <si>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</si>
  <si>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</si>
  <si>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</si>
  <si>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</si>
  <si>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</si>
  <si>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</si>
  <si>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</si>
  <si>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</si>
  <si>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</si>
  <si>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</si>
  <si>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</si>
  <si>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</si>
  <si>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</si>
  <si>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</si>
  <si>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</si>
  <si>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</si>
  <si>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</si>
  <si>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</si>
  <si>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</si>
  <si>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</si>
  <si>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</si>
  <si>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</si>
  <si>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</si>
  <si>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</si>
  <si>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</si>
  <si>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</si>
  <si>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</si>
  <si>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</si>
  <si>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</si>
  <si>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</si>
  <si>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</si>
  <si>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</si>
  <si>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</si>
  <si>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</si>
  <si>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</si>
  <si>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</si>
  <si>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</si>
  <si>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</si>
  <si>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</si>
  <si>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</si>
  <si>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</si>
  <si>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</si>
  <si>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</si>
  <si>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</si>
  <si>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</si>
  <si>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</si>
  <si>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</si>
  <si>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</si>
  <si>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</si>
  <si>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</si>
  <si>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</si>
  <si>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</si>
  <si>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</si>
  <si>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</si>
  <si>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</si>
  <si>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</si>
  <si>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</si>
  <si>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</si>
  <si>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</si>
  <si>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</si>
  <si>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</si>
  <si>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</si>
  <si>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</si>
  <si>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</si>
  <si>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</si>
  <si>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</si>
  <si>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</si>
  <si>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</si>
  <si>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</si>
  <si>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</si>
  <si>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</si>
  <si>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</si>
  <si>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</si>
  <si>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</si>
  <si>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</si>
  <si>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</si>
  <si>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</si>
  <si>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</si>
  <si>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</si>
  <si>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</si>
  <si>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</si>
  <si>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</si>
  <si>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</si>
  <si>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</si>
  <si>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</si>
  <si>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</si>
  <si>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Liamone</t>
  </si>
  <si>
    <t xml:space="preserve">Vico</t>
  </si>
  <si>
    <t xml:space="preserve">06215790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</si>
  <si>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</si>
  <si>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</si>
  <si>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</si>
  <si>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</si>
  <si>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</si>
  <si>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</si>
  <si>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</si>
  <si>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</si>
  <si>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</si>
  <si>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</si>
  <si>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</si>
  <si>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</si>
  <si>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</si>
  <si>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</si>
  <si>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</si>
  <si>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</si>
  <si>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</si>
  <si>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</si>
  <si>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</si>
  <si>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</si>
  <si>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</si>
  <si>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</si>
  <si>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</si>
  <si>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</si>
  <si>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</si>
  <si>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</si>
  <si>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</si>
  <si>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</si>
  <si>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</si>
  <si>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</si>
  <si>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</si>
  <si>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</si>
  <si>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</si>
  <si>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</si>
  <si>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</si>
  <si>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</si>
  <si>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</si>
  <si>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</si>
  <si>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</si>
  <si>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</si>
  <si>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</si>
  <si>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</si>
  <si>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</si>
  <si>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</si>
  <si>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</si>
  <si>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</si>
  <si>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</si>
  <si>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</si>
  <si>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</si>
  <si>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</si>
  <si>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(0,5742 %)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</si>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</sst>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13.5263157894737</v>
      </c>
      <c r="M5" s="323"/>
      <c r="N5" s="324" t="s">
        <v>916</v>
      </c>
      <c r="O5" s="325" t="n">
        <v>12.3846153846154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66</v>
      </c>
      <c r="C7" s="337" t="n">
        <v>34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8.23076923076923</v>
      </c>
      <c r="O8" s="354" t="n">
        <f aca="false">IF(ISERROR(AVERAGE(J23:J82)),"      -",AVERAGE(J23:J82))</f>
        <v>1.07692307692308</v>
      </c>
      <c r="P8" s="355"/>
      <c r="Q8" s="280"/>
      <c r="R8" s="280"/>
      <c r="S8" s="280"/>
      <c r="T8" s="280"/>
      <c r="U8" s="280"/>
      <c r="V8" s="280"/>
      <c r="W8" s="292"/>
      <c r="X8" s="293"/>
    </row>
    <row r="9" customFormat="false" ht="13.5" hidden="false" customHeight="false" outlineLevel="0" collapsed="false">
      <c r="A9" s="313" t="s">
        <v>2635</v>
      </c>
      <c r="B9" s="356" t="n">
        <v>0.8</v>
      </c>
      <c r="C9" s="357" t="n">
        <v>0.15</v>
      </c>
      <c r="D9" s="358"/>
      <c r="E9" s="358"/>
      <c r="F9" s="359" t="n">
        <f aca="false">($B9*$B$7+$C9*$C$7)/100</f>
        <v>0.579</v>
      </c>
      <c r="G9" s="360"/>
      <c r="H9" s="361"/>
      <c r="I9" s="362"/>
      <c r="J9" s="363"/>
      <c r="K9" s="343"/>
      <c r="L9" s="364"/>
      <c r="M9" s="353" t="s">
        <v>2636</v>
      </c>
      <c r="N9" s="354" t="n">
        <f aca="false">IF(ISERROR(STDEVP(I23:I82)),"     -",STDEVP(I23:I82))</f>
        <v>5.80654598977404</v>
      </c>
      <c r="O9" s="354" t="n">
        <f aca="false">IF(ISERROR(STDEVP(J23:J82)),"      -",STDEVP(J23:J82))</f>
        <v>0.916644252908691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0.785</v>
      </c>
      <c r="C20" s="436" t="n">
        <f aca="false">SUM(C23:C82)</f>
        <v>0.165</v>
      </c>
      <c r="D20" s="437"/>
      <c r="E20" s="438" t="s">
        <v>2660</v>
      </c>
      <c r="F20" s="439" t="n">
        <f aca="false">($B20*$B$7+$C20*$C$7)/100</f>
        <v>0.5742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0.5181</v>
      </c>
      <c r="C21" s="449" t="n">
        <f aca="false">C20*C7/100</f>
        <v>0.0561</v>
      </c>
      <c r="D21" s="381" t="str">
        <f aca="false">IF(F21=0,"",IF((ABS(F21-F19))&gt;(0.2*F21),CONCATENATE(" rec. par taxa (",F21," %) supérieur à 20 % !"),""))</f>
        <v> rec. par taxa (0,5742 %) supérieur à 20 % !</v>
      </c>
      <c r="E21" s="450" t="str">
        <f aca="false">IF(F21=0,"",IF((ABS(F21-F19))&gt;(0.2*F21),CONCATENATE("ATTENTION : écart entre rec. par grp (",F19," %) ","et",""),""))</f>
        <v>ATTENTION : écart entre rec. par grp (0 %) et</v>
      </c>
      <c r="F21" s="451" t="n">
        <f aca="false">B21+C21</f>
        <v>0.5742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154</v>
      </c>
      <c r="B23" s="475" t="n">
        <v>0.15</v>
      </c>
      <c r="C23" s="476" t="n">
        <v>0.05</v>
      </c>
      <c r="D23" s="477" t="str">
        <f aca="false">IF(ISERROR(VLOOKUP($A23,'liste reference'!$A$7:$D$904,2,0)),IF(ISERROR(VLOOKUP($A23,'liste reference'!$B$7:$D$904,1,0)),"",VLOOKUP($A23,'liste reference'!$B$7:$D$904,1,0)),VLOOKUP($A23,'liste reference'!$A$7:$D$904,2,0))</f>
        <v>Lemanea sp.</v>
      </c>
      <c r="E23" s="477" t="e">
        <f aca="false">IF(D23="",0,VLOOKUP(D23,D$22:D22,1,0))</f>
        <v>#N/A</v>
      </c>
      <c r="F23" s="478" t="n">
        <f aca="false">($B23*$B$7+$C23*$C$7)/100</f>
        <v>0.116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1159</v>
      </c>
      <c r="Q23" s="486" t="n">
        <f aca="false">IF(ISTEXT(H23),"",(B23*$B$7/100)+(C23*$C$7/100))</f>
        <v>0.116</v>
      </c>
      <c r="R23" s="487" t="n">
        <f aca="false">IF(OR(ISTEXT(H23),Q23=0),"",IF(Q23&lt;0.1,1,IF(Q23&lt;1,2,IF(Q23&lt;10,3,IF(Q23&lt;50,4,IF(Q23&gt;=50,5,""))))))</f>
        <v>2</v>
      </c>
      <c r="S23" s="487" t="n">
        <f aca="false">IF(ISERROR(R23*I23),0,R23*I23)</f>
        <v>30</v>
      </c>
      <c r="T23" s="487" t="n">
        <f aca="false">IF(ISERROR(R23*I23*J23),0,R23*I23*J23)</f>
        <v>60</v>
      </c>
      <c r="U23" s="487" t="n">
        <f aca="false">IF(ISERROR(R23*J23),0,R23*J23)</f>
        <v>4</v>
      </c>
      <c r="V23" s="488" t="str">
        <f aca="false">IF(AND(A23="",F23=0),"",IF(F23=0,"Il manque le(s) % de rec. !",""))</f>
        <v/>
      </c>
      <c r="W23" s="489"/>
      <c r="Y23" s="490" t="str">
        <f aca="false">IF(A23="new.cod","NEWCOD",IF(AND((Z23=""),ISTEXT(A23)),A23,IF(Z23="","",INDEX('liste reference'!$A$8:$A$904,Z23))))</f>
        <v>LEASPX</v>
      </c>
      <c r="Z23" s="280" t="n">
        <f aca="false">IF(ISERROR(MATCH(A23,'liste reference'!$A$8:$A$904,0)),IF(ISERROR(MATCH(A23,'liste reference'!$B$8:$B$904,0)),"",(MATCH(A23,'liste reference'!$B$8:$B$904,0))),(MATCH(A23,'liste reference'!$A$8:$A$904,0)))</f>
        <v>34</v>
      </c>
      <c r="AA23" s="491"/>
      <c r="AB23" s="492"/>
      <c r="AC23" s="492"/>
      <c r="BB23" s="280" t="n">
        <f aca="false">IF(A23="","",1)</f>
        <v>1</v>
      </c>
    </row>
    <row r="24" customFormat="false" ht="12.75" hidden="false" customHeight="false" outlineLevel="0" collapsed="false">
      <c r="A24" s="493" t="s">
        <v>160</v>
      </c>
      <c r="B24" s="494"/>
      <c r="C24" s="495" t="n">
        <v>0.005</v>
      </c>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0.0017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0.0017</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166</v>
      </c>
      <c r="B25" s="494" t="n">
        <v>0.1</v>
      </c>
      <c r="C25" s="495" t="n">
        <v>0.05</v>
      </c>
      <c r="D25" s="477" t="str">
        <f aca="false">IF(ISERROR(VLOOKUP($A25,'liste reference'!$A$7:$D$904,2,0)),IF(ISERROR(VLOOKUP($A25,'liste reference'!$B$7:$D$904,1,0)),"",VLOOKUP($A25,'liste reference'!$B$7:$D$904,1,0)),VLOOKUP($A25,'liste reference'!$A$7:$D$904,2,0))</f>
        <v>Microcoleus sp.</v>
      </c>
      <c r="E25" s="496" t="e">
        <f aca="false">IF(D25="",0,VLOOKUP(D25,D$22:D24,1,0))</f>
        <v>#N/A</v>
      </c>
      <c r="F25" s="497" t="n">
        <f aca="false">($B25*$B$7+$C25*$C$7)/100</f>
        <v>0.083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Microcoleus sp.</v>
      </c>
      <c r="L25" s="498"/>
      <c r="M25" s="498"/>
      <c r="N25" s="498"/>
      <c r="O25" s="484" t="s">
        <v>2685</v>
      </c>
      <c r="P25" s="485" t="n">
        <f aca="false">IF($A25="NEWCOD",IF($AC25="","No",$AC25),IF(ISTEXT($E25),"DEJA SAISI !",IF($A25="","",IF(ISERROR(VLOOKUP($A25,'liste reference'!A:S,19,FALSE())),IF(ISERROR(VLOOKUP($A25,'liste reference'!B:S,19,FALSE())),"",VLOOKUP($A25,'liste reference'!B:S,19,FALSE())),VLOOKUP($A25,'liste reference'!A:S,19,FALSE())))))</f>
        <v>6405</v>
      </c>
      <c r="Q25" s="486" t="n">
        <f aca="false">IF(ISTEXT(H25),"",(B25*$B$7/100)+(C25*$C$7/100))</f>
        <v>0.083</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MIRSPX</v>
      </c>
      <c r="Z25" s="280" t="n">
        <f aca="false">IF(ISERROR(MATCH(A25,'liste reference'!$A$8:$A$904,0)),IF(ISERROR(MATCH(A25,'liste reference'!$B$8:$B$904,0)),"",(MATCH(A25,'liste reference'!$B$8:$B$904,0))),(MATCH(A25,'liste reference'!$A$8:$A$904,0)))</f>
        <v>38</v>
      </c>
      <c r="AA25" s="491" t="s">
        <v>2685</v>
      </c>
      <c r="AB25" s="492"/>
      <c r="AC25" s="492"/>
      <c r="BB25" s="280" t="n">
        <f aca="false">IF(A25="","",1)</f>
        <v>1</v>
      </c>
    </row>
    <row r="26" customFormat="false" ht="12.75" hidden="false" customHeight="false" outlineLevel="0" collapsed="false">
      <c r="A26" s="493" t="s">
        <v>220</v>
      </c>
      <c r="B26" s="494" t="n">
        <v>0.005</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0.0033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0.0033</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0.0033</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0.0033</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258</v>
      </c>
      <c r="B28" s="494" t="n">
        <v>0.05</v>
      </c>
      <c r="C28" s="495"/>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0.033</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0.033</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293</v>
      </c>
      <c r="B29" s="494" t="n">
        <v>0.005</v>
      </c>
      <c r="C29" s="495"/>
      <c r="D29" s="477" t="str">
        <f aca="false">IF(ISERROR(VLOOKUP($A29,'liste reference'!$A$7:$D$904,2,0)),IF(ISERROR(VLOOKUP($A29,'liste reference'!$B$7:$D$904,1,0)),"",VLOOKUP($A29,'liste reference'!$B$7:$D$904,1,0)),VLOOKUP($A29,'liste reference'!$A$7:$D$904,2,0))</f>
        <v>Tolypothrix sp.</v>
      </c>
      <c r="E29" s="496" t="e">
        <f aca="false">IF(D29="",0,VLOOKUP(D29,D$22:D28,1,0))</f>
        <v>#N/A</v>
      </c>
      <c r="F29" s="497" t="n">
        <f aca="false">($B29*$B$7+$C29*$C$7)/100</f>
        <v>0.0033</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Tolypothrix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6304</v>
      </c>
      <c r="Q29" s="486" t="n">
        <f aca="false">IF(ISTEXT(H29),"",(B29*$B$7/100)+(C29*$C$7/100))</f>
        <v>0.0033</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TOYSPX</v>
      </c>
      <c r="Z29" s="280" t="n">
        <f aca="false">IF(ISERROR(MATCH(A29,'liste reference'!$A$8:$A$904,0)),IF(ISERROR(MATCH(A29,'liste reference'!$B$8:$B$904,0)),"",(MATCH(A29,'liste reference'!$B$8:$B$904,0))),(MATCH(A29,'liste reference'!$A$8:$A$904,0)))</f>
        <v>79</v>
      </c>
      <c r="AA29" s="491"/>
      <c r="AB29" s="492"/>
      <c r="AC29" s="492"/>
      <c r="BB29" s="280" t="n">
        <f aca="false">IF(A29="","",1)</f>
        <v>1</v>
      </c>
    </row>
    <row r="30" customFormat="false" ht="12.75" hidden="false" customHeight="false" outlineLevel="0" collapsed="false">
      <c r="A30" s="493" t="s">
        <v>741</v>
      </c>
      <c r="B30" s="494" t="n">
        <v>0.005</v>
      </c>
      <c r="C30" s="495"/>
      <c r="D30" s="477" t="str">
        <f aca="false">IF(ISERROR(VLOOKUP($A30,'liste reference'!$A$7:$D$904,2,0)),IF(ISERROR(VLOOKUP($A30,'liste reference'!$B$7:$D$904,1,0)),"",VLOOKUP($A30,'liste reference'!$B$7:$D$904,1,0)),VLOOKUP($A30,'liste reference'!$A$7:$D$904,2,0))</f>
        <v>Cinclidotus fontinaloides</v>
      </c>
      <c r="E30" s="496" t="e">
        <f aca="false">IF(D30="",0,VLOOKUP(D30,D$22:D29,1,0))</f>
        <v>#N/A</v>
      </c>
      <c r="F30" s="497" t="n">
        <f aca="false">($B30*$B$7+$C30*$C$7)/100</f>
        <v>0.0033</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fontinaloides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1320</v>
      </c>
      <c r="Q30" s="486" t="n">
        <f aca="false">IF(ISTEXT(H30),"",(B30*$B$7/100)+(C30*$C$7/100))</f>
        <v>0.0033</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CINFON</v>
      </c>
      <c r="Z30" s="280" t="n">
        <f aca="false">IF(ISERROR(MATCH(A30,'liste reference'!$A$8:$A$904,0)),IF(ISERROR(MATCH(A30,'liste reference'!$B$8:$B$904,0)),"",(MATCH(A30,'liste reference'!$B$8:$B$904,0))),(MATCH(A30,'liste reference'!$A$8:$A$904,0)))</f>
        <v>172</v>
      </c>
      <c r="AA30" s="491"/>
      <c r="AB30" s="492"/>
      <c r="AC30" s="492"/>
      <c r="BB30" s="280" t="n">
        <f aca="false">IF(A30="","",1)</f>
        <v>1</v>
      </c>
    </row>
    <row r="31" customFormat="false" ht="12.75" hidden="false" customHeight="false" outlineLevel="0" collapsed="false">
      <c r="A31" s="493" t="s">
        <v>896</v>
      </c>
      <c r="B31" s="494" t="n">
        <v>0.01</v>
      </c>
      <c r="C31" s="495" t="n">
        <v>0.01</v>
      </c>
      <c r="D31" s="477" t="str">
        <f aca="false">IF(ISERROR(VLOOKUP($A31,'liste reference'!$A$7:$D$904,2,0)),IF(ISERROR(VLOOKUP($A31,'liste reference'!$B$7:$D$904,1,0)),"",VLOOKUP($A31,'liste reference'!$B$7:$D$904,1,0)),VLOOKUP($A31,'liste reference'!$A$7:$D$904,2,0))</f>
        <v>Fontinalis antipyretica</v>
      </c>
      <c r="E31" s="496" t="e">
        <f aca="false">IF(D31="",0,VLOOKUP(D31,D$22:D30,1,0))</f>
        <v>#N/A</v>
      </c>
      <c r="F31" s="497" t="n">
        <f aca="false">($B31*$B$7+$C31*$C$7)/100</f>
        <v>0.01</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antipyretica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1310</v>
      </c>
      <c r="Q31" s="486" t="n">
        <f aca="false">IF(ISTEXT(H31),"",(B31*$B$7/100)+(C31*$C$7/100))</f>
        <v>0.01</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FONANT</v>
      </c>
      <c r="Z31" s="280" t="n">
        <f aca="false">IF(ISERROR(MATCH(A31,'liste reference'!$A$8:$A$904,0)),IF(ISERROR(MATCH(A31,'liste reference'!$B$8:$B$904,0)),"",(MATCH(A31,'liste reference'!$B$8:$B$904,0))),(MATCH(A31,'liste reference'!$A$8:$A$904,0)))</f>
        <v>210</v>
      </c>
      <c r="AA31" s="491"/>
      <c r="AB31" s="492"/>
      <c r="AC31" s="492"/>
      <c r="BB31" s="280" t="n">
        <f aca="false">IF(A31="","",1)</f>
        <v>1</v>
      </c>
    </row>
    <row r="32" customFormat="false" ht="12.75" hidden="false" customHeight="false" outlineLevel="0" collapsed="false">
      <c r="A32" s="493" t="s">
        <v>916</v>
      </c>
      <c r="B32" s="494" t="n">
        <v>0.25</v>
      </c>
      <c r="C32" s="495" t="n">
        <v>0.05</v>
      </c>
      <c r="D32" s="477" t="str">
        <f aca="false">IF(ISERROR(VLOOKUP($A32,'liste reference'!$A$7:$D$904,2,0)),IF(ISERROR(VLOOKUP($A32,'liste reference'!$B$7:$D$904,1,0)),"",VLOOKUP($A32,'liste reference'!$B$7:$D$904,1,0)),VLOOKUP($A32,'liste reference'!$A$7:$D$904,2,0))</f>
        <v>Fontinalis squamosa</v>
      </c>
      <c r="E32" s="496" t="e">
        <f aca="false">IF(D32="",0,VLOOKUP(D32,D$22:D31,1,0))</f>
        <v>#N/A</v>
      </c>
      <c r="F32" s="497" t="n">
        <f aca="false">($B32*$B$7+$C32*$C$7)/100</f>
        <v>0.182</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16</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squamosa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1312</v>
      </c>
      <c r="Q32" s="486" t="n">
        <f aca="false">IF(ISTEXT(H32),"",(B32*$B$7/100)+(C32*$C$7/100))</f>
        <v>0.182</v>
      </c>
      <c r="R32" s="487" t="n">
        <f aca="false">IF(OR(ISTEXT(H32),Q32=0),"",IF(Q32&lt;0.1,1,IF(Q32&lt;1,2,IF(Q32&lt;10,3,IF(Q32&lt;50,4,IF(Q32&gt;=50,5,""))))))</f>
        <v>2</v>
      </c>
      <c r="S32" s="487" t="n">
        <f aca="false">IF(ISERROR(R32*I32),0,R32*I32)</f>
        <v>32</v>
      </c>
      <c r="T32" s="487" t="n">
        <f aca="false">IF(ISERROR(R32*I32*J32),0,R32*I32*J32)</f>
        <v>96</v>
      </c>
      <c r="U32" s="499" t="n">
        <f aca="false">IF(ISERROR(R32*J32),0,R32*J32)</f>
        <v>6</v>
      </c>
      <c r="V32" s="488" t="str">
        <f aca="false">IF(AND(A32="",F32=0),"",IF(F32=0,"Il manque le(s) % de rec. !",""))</f>
        <v/>
      </c>
      <c r="W32" s="489"/>
      <c r="Y32" s="490" t="str">
        <f aca="false">IF(A32="new.cod","NEWCOD",IF(AND((Z32=""),ISTEXT(A32)),A32,IF(Z32="","",INDEX('liste reference'!$A$8:$A$904,Z32))))</f>
        <v>FONSQU</v>
      </c>
      <c r="Z32" s="280" t="n">
        <f aca="false">IF(ISERROR(MATCH(A32,'liste reference'!$A$8:$A$904,0)),IF(ISERROR(MATCH(A32,'liste reference'!$B$8:$B$904,0)),"",(MATCH(A32,'liste reference'!$B$8:$B$904,0))),(MATCH(A32,'liste reference'!$A$8:$A$904,0)))</f>
        <v>214</v>
      </c>
      <c r="AA32" s="491"/>
      <c r="AB32" s="492"/>
      <c r="AC32" s="492"/>
      <c r="BB32" s="280" t="n">
        <f aca="false">IF(A32="","",1)</f>
        <v>1</v>
      </c>
    </row>
    <row r="33" customFormat="false" ht="12.75" hidden="false" customHeight="false" outlineLevel="0" collapsed="false">
      <c r="A33" s="493" t="s">
        <v>1054</v>
      </c>
      <c r="B33" s="494" t="n">
        <v>0.1</v>
      </c>
      <c r="C33" s="495"/>
      <c r="D33" s="477" t="str">
        <f aca="false">IF(ISERROR(VLOOKUP($A33,'liste reference'!$A$7:$D$904,2,0)),IF(ISERROR(VLOOKUP($A33,'liste reference'!$B$7:$D$904,1,0)),"",VLOOKUP($A33,'liste reference'!$B$7:$D$904,1,0)),VLOOKUP($A33,'liste reference'!$A$7:$D$904,2,0))</f>
        <v>Rhynchostegium riparioides</v>
      </c>
      <c r="E33" s="496" t="e">
        <f aca="false">IF(D33="",0,VLOOKUP(D33,D$15:D32,1,0))</f>
        <v>#N/A</v>
      </c>
      <c r="F33" s="497" t="n">
        <f aca="false">($B33*$B$7+$C33*$C$7)/100</f>
        <v>0.066</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0.066</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0.005</v>
      </c>
      <c r="C34" s="495"/>
      <c r="D34" s="477" t="str">
        <f aca="false">IF(ISERROR(VLOOKUP($A34,'liste reference'!$A$7:$D$904,2,0)),IF(ISERROR(VLOOKUP($A34,'liste reference'!$B$7:$D$904,1,0)),"",VLOOKUP($A34,'liste reference'!$B$7:$D$904,1,0)),VLOOKUP($A34,'liste reference'!$A$7:$D$904,2,0))</f>
        <v>Equisetum arvense</v>
      </c>
      <c r="E34" s="496" t="e">
        <f aca="false">IF(D34="",0,VLOOKUP(D34,D$22:D33,1,0))</f>
        <v>#N/A</v>
      </c>
      <c r="F34" s="500" t="n">
        <f aca="false">($B34*$B$7+$C34*$C$7)/100</f>
        <v>0.0033</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0.0033</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1197</v>
      </c>
      <c r="B35" s="494" t="n">
        <v>0.1</v>
      </c>
      <c r="C35" s="495"/>
      <c r="D35" s="477" t="str">
        <f aca="false">IF(ISERROR(VLOOKUP($A35,'liste reference'!$A$7:$D$904,2,0)),IF(ISERROR(VLOOKUP($A35,'liste reference'!$B$7:$D$904,1,0)),"",VLOOKUP($A35,'liste reference'!$B$7:$D$904,1,0)),VLOOKUP($A35,'liste reference'!$A$7:$D$904,2,0))</f>
        <v>Osmunda regalis</v>
      </c>
      <c r="E35" s="496" t="e">
        <f aca="false">IF(D35="",0,VLOOKUP(D35,D$22:D34,1,0))</f>
        <v>#N/A</v>
      </c>
      <c r="F35" s="500" t="n">
        <f aca="false">($B35*$B$7+$C35*$C$7)/100</f>
        <v>0.066</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Osmunda regalis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1403</v>
      </c>
      <c r="Q35" s="486" t="n">
        <f aca="false">IF(ISTEXT(H35),"",(B35*$B$7/100)+(C35*$C$7/100))</f>
        <v>0.066</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OSMREG</v>
      </c>
      <c r="Z35" s="280" t="n">
        <f aca="false">IF(ISERROR(MATCH(A35,'liste reference'!$A$8:$A$904,0)),IF(ISERROR(MATCH(A35,'liste reference'!$B$8:$B$904,0)),"",(MATCH(A35,'liste reference'!$B$8:$B$904,0))),(MATCH(A35,'liste reference'!$A$8:$A$904,0)))</f>
        <v>298</v>
      </c>
      <c r="AA35" s="491"/>
      <c r="AB35" s="492"/>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1"/>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IF(D40="",0,VLOOKUP(D40,D$19:D35,1,0))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IF(D42="",0,VLOOKUP(D42,D$21:D36,1,0))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X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Liamone</v>
      </c>
      <c r="B84" s="529" t="str">
        <f aca="false">C3</f>
        <v>Vico</v>
      </c>
      <c r="C84" s="530" t="n">
        <f aca="false">A4</f>
        <v>41822</v>
      </c>
      <c r="D84" s="531" t="n">
        <f aca="false">IF(ISERROR(SUM($T$23:$T$82)/SUM($U$23:$U$82)),"",SUM($T$23:$T$82)/SUM($U$23:$U$82))</f>
        <v>13.5263157894737</v>
      </c>
      <c r="E84" s="532" t="n">
        <f aca="false">N13</f>
        <v>13</v>
      </c>
      <c r="F84" s="529" t="n">
        <f aca="false">N14</f>
        <v>13</v>
      </c>
      <c r="G84" s="529" t="n">
        <f aca="false">N15</f>
        <v>5</v>
      </c>
      <c r="H84" s="529" t="n">
        <f aca="false">N16</f>
        <v>3</v>
      </c>
      <c r="I84" s="529" t="n">
        <f aca="false">N17</f>
        <v>1</v>
      </c>
      <c r="J84" s="533" t="n">
        <f aca="false">N8</f>
        <v>8.23076923076923</v>
      </c>
      <c r="K84" s="531" t="n">
        <f aca="false">N9</f>
        <v>5.80654598977404</v>
      </c>
      <c r="L84" s="532" t="n">
        <f aca="false">N10</f>
        <v>0</v>
      </c>
      <c r="M84" s="532" t="n">
        <f aca="false">N11</f>
        <v>16</v>
      </c>
      <c r="N84" s="531" t="n">
        <f aca="false">O8</f>
        <v>1.07692307692308</v>
      </c>
      <c r="O84" s="531" t="n">
        <f aca="false">O9</f>
        <v>0.916644252908691</v>
      </c>
      <c r="P84" s="532" t="n">
        <f aca="false">O10</f>
        <v>0</v>
      </c>
      <c r="Q84" s="532" t="n">
        <f aca="false">O11</f>
        <v>3</v>
      </c>
      <c r="R84" s="532" t="n">
        <f aca="false">F21</f>
        <v>0.5742</v>
      </c>
      <c r="S84" s="532" t="n">
        <f aca="false">K11</f>
        <v>0</v>
      </c>
      <c r="T84" s="532" t="n">
        <f aca="false">K12</f>
        <v>7</v>
      </c>
      <c r="U84" s="532" t="n">
        <f aca="false">K13</f>
        <v>4</v>
      </c>
      <c r="V84" s="534" t="n">
        <f aca="false">K14</f>
        <v>2</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32</v>
      </c>
      <c r="T87" s="280"/>
      <c r="U87" s="280"/>
      <c r="V87" s="280"/>
    </row>
    <row r="88" customFormat="false" ht="12.75" hidden="true" customHeight="false" outlineLevel="0" collapsed="false">
      <c r="P88" s="280"/>
      <c r="Q88" s="280" t="s">
        <v>2689</v>
      </c>
      <c r="R88" s="280"/>
      <c r="S88" s="488" t="n">
        <f aca="false">VLOOKUP((S87),($S$23:$U$82),2,0)</f>
        <v>96</v>
      </c>
      <c r="T88" s="280"/>
      <c r="U88" s="280"/>
      <c r="V88" s="280"/>
    </row>
    <row r="89" customFormat="false" ht="12.75" hidden="true" customHeight="false" outlineLevel="0" collapsed="false">
      <c r="Q89" s="280" t="s">
        <v>2690</v>
      </c>
      <c r="R89" s="280"/>
      <c r="S89" s="488" t="n">
        <f aca="false">VLOOKUP((S87),($S$23:$U$82),3,0)</f>
        <v>6</v>
      </c>
      <c r="T89" s="280"/>
    </row>
    <row r="90" customFormat="false" ht="12.75" hidden="false" customHeight="false" outlineLevel="0" collapsed="false">
      <c r="Q90" s="280" t="s">
        <v>2691</v>
      </c>
      <c r="R90" s="280"/>
      <c r="S90" s="538" t="n">
        <f aca="false">IF(ISERROR(SUM($T$23:$T$82)/SUM($U$23:$U$82)),"",(SUM($T$23:$T$82)-S88)/(SUM($U$23:$U$82)-S89))</f>
        <v>12.3846153846154</v>
      </c>
      <c r="T90" s="280"/>
    </row>
    <row r="91" customFormat="false" ht="12.75" hidden="false" customHeight="false" outlineLevel="0" collapsed="false">
      <c r="Q91" s="487" t="s">
        <v>2692</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2693</v>
      </c>
      <c r="R92" s="280"/>
      <c r="S92" s="280" t="n">
        <f aca="false">MATCH(S87,$S$23:$S$82,0)</f>
        <v>10</v>
      </c>
      <c r="T92" s="280"/>
    </row>
    <row r="93" customFormat="false" ht="12.75" hidden="false" customHeight="false" outlineLevel="0" collapsed="false">
      <c r="Q93" s="487" t="s">
        <v>2694</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2710</v>
      </c>
      <c r="G18" s="577"/>
      <c r="H18" s="576" t="s">
        <v>2710</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2713</v>
      </c>
      <c r="G23" s="577"/>
      <c r="H23" s="576" t="s">
        <v>2713</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2015-03-20T12:39:05Z</dcterms:modified>
  <cp:revision>0</cp:revision>
  <dc:subject/>
  <dc:title>Feuille d'aide au calcul de l'IBMR</dc:title>
</cp:coreProperties>
</file>