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ravone a Bocognano" sheetId="6" state="visible" r:id="rId8"/>
    <sheet name="modele" sheetId="7" state="hidden" r:id="rId9"/>
    <sheet name="liste codes réf" sheetId="8" state="hidden" r:id="rId10"/>
  </sheets>
  <definedNames>
    <definedName function="false" hidden="false" localSheetId="5" name="_xlnm.Print_Area" vbProcedure="false">'Gravone a Bocognano'!$A$1:$O$82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'Gravone a Bocognano'!$A$23:$J$84</definedName>
    <definedName function="false" hidden="false" localSheetId="5" name="NOM" vbProcedure="false">'Gravone a Bocognano'!$H$1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<sst xmlns="http://schemas.openxmlformats.org/spreadsheetml/2006/main" count="7369" uniqueCount="3131">
  <si>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</si>
  <si>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</si>
  <si>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</si>
  <si>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</si>
  <si>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</si>
  <si>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</si>
  <si>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</si>
  <si>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</si>
  <si>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</si>
  <si>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</si>
  <si>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</si>
  <si>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</si>
  <si>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</si>
  <si>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</si>
  <si>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</si>
  <si>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</si>
  <si>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</si>
  <si>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</si>
  <si>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</si>
  <si>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</si>
  <si>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</si>
  <si>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</si>
  <si>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</si>
  <si>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</si>
  <si>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</si>
  <si>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</si>
  <si>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</si>
  <si>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</si>
  <si>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</si>
  <si>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</si>
  <si>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</si>
  <si>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</si>
  <si>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</si>
  <si>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</si>
  <si>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</si>
  <si>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</si>
  <si>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</si>
  <si>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</si>
  <si>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</si>
  <si>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</si>
  <si>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</si>
  <si>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</si>
  <si>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</si>
  <si>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</si>
  <si>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</si>
  <si>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</si>
  <si>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</si>
  <si>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</si>
  <si>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</si>
  <si>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</si>
  <si>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</si>
  <si>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</si>
  <si>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</si>
  <si>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</si>
  <si>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</si>
  <si>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</si>
  <si>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</si>
  <si>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</si>
  <si>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</si>
  <si>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</si>
  <si>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</si>
  <si>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</si>
  <si>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</si>
  <si>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</si>
  <si>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</si>
  <si>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</si>
  <si>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</si>
  <si>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</si>
  <si>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</si>
  <si>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</si>
  <si>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</si>
  <si>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</si>
  <si>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</si>
  <si>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</si>
  <si>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</si>
  <si>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</si>
  <si>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</si>
  <si>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</si>
  <si>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</si>
  <si>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</si>
  <si>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</si>
  <si>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</si>
  <si>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</si>
  <si>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</si>
  <si>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</si>
  <si>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</si>
  <si>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</si>
  <si>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</si>
  <si>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</si>
  <si>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</si>
  <si>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</si>
  <si>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</si>
  <si>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</si>
  <si>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</si>
  <si>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</si>
  <si>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</si>
  <si>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</si>
  <si>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</si>
  <si>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</si>
  <si>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</si>
  <si>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</si>
  <si>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</si>
  <si>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</si>
  <si>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</si>
  <si>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</si>
  <si>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</si>
  <si>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</si>
  <si>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</si>
  <si>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</si>
  <si>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</si>
  <si>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</si>
  <si>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</si>
  <si>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</si>
  <si>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</si>
  <si>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</si>
  <si>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</si>
  <si>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</si>
  <si>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</si>
  <si>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</si>
  <si>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</si>
  <si>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</si>
  <si>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</si>
  <si>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</si>
  <si>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</si>
  <si>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</si>
  <si>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</si>
  <si>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</si>
  <si>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</si>
  <si>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</si>
  <si>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</si>
  <si>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</si>
  <si>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</si>
  <si>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</si>
  <si>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</si>
  <si>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</si>
  <si>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</si>
  <si>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</si>
  <si>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</si>
  <si>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</si>
  <si>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</si>
  <si>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</si>
  <si>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</si>
  <si>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</si>
  <si>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</si>
  <si>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</si>
  <si>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</si>
  <si>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</si>
  <si>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</si>
  <si>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</si>
  <si>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</si>
  <si>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</si>
  <si>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</si>
  <si>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</si>
  <si>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</si>
  <si>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</si>
  <si>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</si>
  <si>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</si>
  <si>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</si>
  <si>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</si>
  <si>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</si>
  <si>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</si>
  <si>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</si>
  <si>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</si>
  <si>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</si>
  <si>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</si>
  <si>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</si>
  <si>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</si>
  <si>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</si>
  <si>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</si>
  <si>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</si>
  <si>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</si>
  <si>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</si>
  <si>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</si>
  <si>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</si>
  <si>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</si>
  <si>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</si>
  <si>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</si>
  <si>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</si>
  <si>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</si>
  <si>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</si>
  <si>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</si>
  <si>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</si>
  <si>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</si>
  <si>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</si>
  <si>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</si>
  <si>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</si>
  <si>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</si>
  <si>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</si>
  <si>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</si>
  <si>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</si>
  <si>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</si>
  <si>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</si>
  <si>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</si>
  <si>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</si>
  <si>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</si>
  <si>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</si>
  <si>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</si>
  <si>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</si>
  <si>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</si>
  <si>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</si>
  <si>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</si>
  <si>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</si>
  <si>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</si>
  <si>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</si>
  <si>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</si>
  <si>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</si>
  <si>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</si>
  <si>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</si>
  <si>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</si>
  <si>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</si>
  <si>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</si>
  <si>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</si>
  <si>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</si>
  <si>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</si>
  <si>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</si>
  <si>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</si>
  <si>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</si>
  <si>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</si>
  <si>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</si>
  <si>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</si>
  <si>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</si>
  <si>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</si>
  <si>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</si>
  <si>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</si>
  <si>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</si>
  <si>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</si>
  <si>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</si>
  <si>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</si>
  <si>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</si>
  <si>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</si>
  <si>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</si>
  <si>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</si>
  <si>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</si>
  <si>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</si>
  <si>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</si>
  <si>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</si>
  <si>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</si>
  <si>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</si>
  <si>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</si>
  <si>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</si>
  <si>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</si>
  <si>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</si>
  <si>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</si>
  <si>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</si>
  <si>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</si>
  <si>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</si>
  <si>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</si>
  <si>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</si>
  <si>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</si>
  <si>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</si>
  <si>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</si>
  <si>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</si>
  <si>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</si>
  <si>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</si>
  <si>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</si>
  <si>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</si>
  <si>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</si>
  <si>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</si>
  <si>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</si>
  <si>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</si>
  <si>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</si>
  <si>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</si>
  <si>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</si>
  <si>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</si>
  <si>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</si>
  <si>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</si>
  <si>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</si>
  <si>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</si>
  <si>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</si>
  <si>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</si>
  <si>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</si>
  <si>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</si>
  <si>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</si>
  <si>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</si>
  <si>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</si>
  <si>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</si>
  <si>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</si>
  <si>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</si>
  <si>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</si>
  <si>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</si>
  <si>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</si>
  <si>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</si>
  <si>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</si>
  <si>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</si>
  <si>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</si>
  <si>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</si>
  <si>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</si>
  <si>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</si>
  <si>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</si>
  <si>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</si>
  <si>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</si>
  <si>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</si>
  <si>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</si>
  <si>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</si>
  <si>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</si>
  <si>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</si>
  <si>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</si>
  <si>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</si>
  <si>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</si>
  <si>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</si>
  <si>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</si>
  <si>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</si>
  <si>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</si>
  <si>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</si>
  <si>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</si>
  <si>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</si>
  <si>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</si>
  <si>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</si>
  <si>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</si>
  <si>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</si>
  <si>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</si>
  <si>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</si>
  <si>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</si>
  <si>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</si>
  <si>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</si>
  <si>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</si>
  <si>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</si>
  <si>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</si>
  <si>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</si>
  <si>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</si>
  <si>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</si>
  <si>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</si>
  <si>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</si>
  <si>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</si>
  <si>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</si>
  <si>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</si>
  <si>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</si>
  <si>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</si>
  <si>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</si>
  <si>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</si>
  <si>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</si>
  <si>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</si>
  <si>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</si>
  <si>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</si>
  <si>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</si>
  <si>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</si>
  <si>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</si>
  <si>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</si>
  <si>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</si>
  <si>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</si>
  <si>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</si>
  <si>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</si>
  <si>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</si>
  <si>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</si>
  <si>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</si>
  <si>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</si>
  <si>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</si>
  <si>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</si>
  <si>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</si>
  <si>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</si>
  <si>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</si>
  <si>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</si>
  <si>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</si>
  <si>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</si>
  <si>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</si>
  <si>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</si>
  <si>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</si>
  <si>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</si>
  <si>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</si>
  <si>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</si>
  <si>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</si>
  <si>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</si>
  <si>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</si>
  <si>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</si>
  <si>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</si>
  <si>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</si>
  <si>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</si>
  <si>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</si>
  <si>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</si>
  <si>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</si>
  <si>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</si>
  <si>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</si>
  <si>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</si>
  <si>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</si>
  <si>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</si>
  <si>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</si>
  <si>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</si>
  <si>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</si>
  <si>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</si>
  <si>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</si>
  <si>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</si>
  <si>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</si>
  <si>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</si>
  <si>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</si>
  <si>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</si>
  <si>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</si>
  <si>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</si>
  <si>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</si>
  <si>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</si>
  <si>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</si>
  <si>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</si>
  <si>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</si>
  <si>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</si>
  <si>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</si>
  <si>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</si>
  <si>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</si>
  <si>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</si>
  <si>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</si>
  <si>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</si>
  <si>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</si>
  <si>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</si>
  <si>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</si>
  <si>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</si>
  <si>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</si>
  <si>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</si>
  <si>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</si>
  <si>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</si>
  <si>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</si>
  <si>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</si>
  <si>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</si>
  <si>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</si>
  <si>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</si>
  <si>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</si>
  <si>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</si>
  <si>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</si>
  <si>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</si>
  <si>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</si>
  <si>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</si>
  <si>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</si>
  <si>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</si>
  <si>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</si>
  <si>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</si>
  <si>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</si>
  <si>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</si>
  <si>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</si>
  <si>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</si>
  <si>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</si>
  <si>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</si>
  <si>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</si>
  <si>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</si>
  <si>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</si>
  <si>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</si>
  <si>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</si>
  <si>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</si>
  <si>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</si>
  <si>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</si>
  <si>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</si>
  <si>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</si>
  <si>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</si>
  <si>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</si>
  <si>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</si>
  <si>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</si>
  <si>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</si>
  <si>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</si>
  <si>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</si>
  <si>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</si>
  <si>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</si>
  <si>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</si>
  <si>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</si>
  <si>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</si>
  <si>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</si>
  <si>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</si>
  <si>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</si>
  <si>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</si>
  <si>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</si>
  <si>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</si>
  <si>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</si>
  <si>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</si>
  <si>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</si>
  <si>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</si>
  <si>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</si>
  <si>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</si>
  <si>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</si>
  <si>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</si>
  <si>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</si>
  <si>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</si>
  <si>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</si>
  <si>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</si>
  <si>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</si>
  <si>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</si>
  <si>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</si>
  <si>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</si>
  <si>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</si>
  <si>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</si>
  <si>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</si>
  <si>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</si>
  <si>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</si>
  <si>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</si>
  <si>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</si>
  <si>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</si>
  <si>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</si>
  <si>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</si>
  <si>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</si>
  <si>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</si>
  <si>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</si>
  <si>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</si>
  <si>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</si>
  <si>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</si>
  <si>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</si>
  <si>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</si>
  <si>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</si>
  <si>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</si>
  <si>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</si>
  <si>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</si>
  <si>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</si>
  <si>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</si>
  <si>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</si>
  <si>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</si>
  <si>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</si>
  <si>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</si>
  <si>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</si>
  <si>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</si>
  <si>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</si>
  <si>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</si>
  <si>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</si>
  <si>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</si>
  <si>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</si>
  <si>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</si>
  <si>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</si>
  <si>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</si>
  <si>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</si>
  <si>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</si>
  <si>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</si>
  <si>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</si>
  <si>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</si>
  <si>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</si>
  <si>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</si>
  <si>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</si>
  <si>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</si>
  <si>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</si>
  <si>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</si>
  <si>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</si>
  <si>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</si>
  <si>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</si>
  <si>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</si>
  <si>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</si>
  <si>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</si>
  <si>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</si>
  <si>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</si>
  <si>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</si>
  <si>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</si>
  <si>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</si>
  <si>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</si>
  <si>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</si>
  <si>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</si>
  <si>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</si>
  <si>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</si>
  <si>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</si>
  <si>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</si>
  <si>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</si>
  <si>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</si>
  <si>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</si>
  <si>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</si>
  <si>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</si>
  <si>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</si>
  <si>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</si>
  <si>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</si>
  <si>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</si>
  <si>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</si>
  <si>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</si>
  <si>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</si>
  <si>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</si>
  <si>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</si>
  <si>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</si>
  <si>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</si>
  <si>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</si>
  <si>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</si>
  <si>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</si>
  <si>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</si>
  <si>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</si>
  <si>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</si>
  <si>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</si>
  <si>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</si>
  <si>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</si>
  <si>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</si>
  <si>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</si>
  <si>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</si>
  <si>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</si>
  <si>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</si>
  <si>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</si>
  <si>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</si>
  <si>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</si>
  <si>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</si>
  <si>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</si>
  <si>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</si>
  <si>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</si>
  <si>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</si>
  <si>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</si>
  <si>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</si>
  <si>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</si>
  <si>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</si>
  <si>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</si>
  <si>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</si>
  <si>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</si>
  <si>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</si>
  <si>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</si>
  <si>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</si>
  <si>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</si>
  <si>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</si>
  <si>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</si>
  <si>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</si>
  <si>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</si>
  <si>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</si>
  <si>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</si>
  <si>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</si>
  <si>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</si>
  <si>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</si>
  <si>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</si>
  <si>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</si>
  <si>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</si>
  <si>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</si>
  <si>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</si>
  <si>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</si>
  <si>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</si>
  <si>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</si>
  <si>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</si>
  <si>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</si>
  <si>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</si>
  <si>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</si>
  <si>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</si>
  <si>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</si>
  <si>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</si>
  <si>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</si>
  <si>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</si>
  <si>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</si>
  <si>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</si>
  <si>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</si>
  <si>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</si>
  <si>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</si>
  <si>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</si>
  <si>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</si>
  <si>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</si>
  <si>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</si>
  <si>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</si>
  <si>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</si>
  <si>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</si>
  <si>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</si>
  <si>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</si>
  <si>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</si>
  <si>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</si>
  <si>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</si>
  <si>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</si>
  <si>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</si>
  <si>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</si>
  <si>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</si>
  <si>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</si>
  <si>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</si>
  <si>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</si>
  <si>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</si>
  <si>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</si>
  <si>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</si>
  <si>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</si>
  <si>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</si>
  <si>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</si>
  <si>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</si>
  <si>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</si>
  <si>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</si>
  <si>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</si>
  <si>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</si>
  <si>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</si>
  <si>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</si>
  <si>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</si>
  <si>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</si>
  <si>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</si>
  <si>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</si>
  <si>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</si>
  <si>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</si>
  <si>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</si>
  <si>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</si>
  <si>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</si>
  <si>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</si>
  <si>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</si>
  <si>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</si>
  <si>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</si>
  <si>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</si>
  <si>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</si>
  <si>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</si>
  <si>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</si>
  <si>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</si>
  <si>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</si>
  <si>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</si>
  <si>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</si>
  <si>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</si>
  <si>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</si>
  <si>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</si>
  <si>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</si>
  <si>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</si>
  <si>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</si>
  <si>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</si>
  <si>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</si>
  <si>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</si>
  <si>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</si>
  <si>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</si>
  <si>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</si>
  <si>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</si>
  <si>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</si>
  <si>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</si>
  <si>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</si>
  <si>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</si>
  <si>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</si>
  <si>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</si>
  <si>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</si>
  <si>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</si>
  <si>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</si>
  <si>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</si>
  <si>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</si>
  <si>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</si>
  <si>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</si>
  <si>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</si>
  <si>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</si>
  <si>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</si>
  <si>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</si>
  <si>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</si>
  <si>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</si>
  <si>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</si>
  <si>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</si>
  <si>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</si>
  <si>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</si>
  <si>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</si>
  <si>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</si>
  <si>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</si>
  <si>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</si>
  <si>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</si>
  <si>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</si>
  <si>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</si>
  <si>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</si>
  <si>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</si>
  <si>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</si>
  <si>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</si>
  <si>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</si>
  <si>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</si>
  <si>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</si>
  <si>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</si>
  <si>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</si>
  <si>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</si>
  <si>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</si>
  <si>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</si>
  <si>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</si>
  <si>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</si>
  <si>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</si>
  <si>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</si>
  <si>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</si>
  <si>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</si>
  <si>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</si>
  <si>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</si>
  <si>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</si>
  <si>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</si>
  <si>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</si>
  <si>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</si>
  <si>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</si>
  <si>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</si>
  <si>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</si>
  <si>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</si>
  <si>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</si>
  <si>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</si>
  <si>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</si>
  <si>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</si>
  <si>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</si>
  <si>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</si>
  <si>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</si>
  <si>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</si>
  <si>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</si>
  <si>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</si>
  <si>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</si>
  <si>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</si>
  <si>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</si>
  <si>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</si>
  <si>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</si>
  <si>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</si>
  <si>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</si>
  <si>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</si>
  <si>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</si>
  <si>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</si>
  <si>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</si>
  <si>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</si>
  <si>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</si>
  <si>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</si>
  <si>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</si>
  <si>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</si>
  <si>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</si>
  <si>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</si>
  <si>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</si>
  <si>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</si>
  <si>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</si>
  <si>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</si>
  <si>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</si>
  <si>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</si>
  <si>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</si>
  <si>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</si>
  <si>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</si>
  <si>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</si>
  <si>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</si>
  <si>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</si>
  <si>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</si>
  <si>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</si>
  <si>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</si>
  <si>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</si>
  <si>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</si>
  <si>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</si>
  <si>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</si>
  <si>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</si>
  <si>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</si>
  <si>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</si>
  <si>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</si>
  <si>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</si>
  <si>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</si>
  <si>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</si>
  <si>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</si>
  <si>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</si>
  <si>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</si>
  <si>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</si>
  <si>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</si>
  <si>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</si>
  <si>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</si>
  <si>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</si>
  <si>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</si>
  <si>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</si>
  <si>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</si>
  <si>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</si>
  <si>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</si>
  <si>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</si>
  <si>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</si>
  <si>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</si>
  <si>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</si>
  <si>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</si>
  <si>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</si>
  <si>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</si>
  <si>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</si>
  <si>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</si>
  <si>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</si>
  <si>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</si>
  <si>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</si>
  <si>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</si>
  <si>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</si>
  <si>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</si>
  <si>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</si>
  <si>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</si>
  <si>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</si>
  <si>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</si>
  <si>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</si>
  <si>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</si>
  <si>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</si>
  <si>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</si>
  <si>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</si>
  <si>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</si>
  <si>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</si>
  <si>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</si>
  <si>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</si>
  <si>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</si>
  <si>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</si>
  <si>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</si>
  <si>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</si>
  <si>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</si>
  <si>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</si>
  <si>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</si>
  <si>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</si>
  <si>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</si>
  <si>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</si>
  <si>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</si>
  <si>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</si>
  <si>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</si>
  <si>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</si>
  <si>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</si>
  <si>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</si>
  <si>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</si>
  <si>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</si>
  <si>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</si>
  <si>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</si>
  <si>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</si>
  <si>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</si>
  <si>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</si>
  <si>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</si>
  <si>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</si>
  <si>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</si>
  <si>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</si>
  <si>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</si>
  <si>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</si>
  <si>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</si>
  <si>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</si>
  <si>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</si>
  <si>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</si>
  <si>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</si>
  <si>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</si>
  <si>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</si>
  <si>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</si>
  <si>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</si>
  <si>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</si>
  <si>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</si>
  <si>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</si>
  <si>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</si>
  <si>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</si>
  <si>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</si>
  <si>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</si>
  <si>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</si>
  <si>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</si>
  <si>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</si>
  <si>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</si>
  <si>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</si>
  <si>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</si>
  <si>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</si>
  <si>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</si>
  <si>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</si>
  <si>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</si>
  <si>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</si>
  <si>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</si>
  <si>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</si>
  <si>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</si>
  <si>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</si>
  <si>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</si>
  <si>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</si>
  <si>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</si>
  <si>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</si>
  <si>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</si>
  <si>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</si>
  <si>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</si>
  <si>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</si>
  <si>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</si>
  <si>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</si>
  <si>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</si>
  <si>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</si>
  <si>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</si>
  <si>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</si>
  <si>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</si>
  <si>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</si>
  <si>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</si>
  <si>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</si>
  <si>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</si>
  <si>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</si>
  <si>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</si>
  <si>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</si>
  <si>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</si>
  <si>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</si>
  <si>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</si>
  <si>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</si>
  <si>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</si>
  <si>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</si>
  <si>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</si>
  <si>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</si>
  <si>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</si>
  <si>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</si>
  <si>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</si>
  <si>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</si>
  <si>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</si>
  <si>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</si>
  <si>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</si>
  <si>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</si>
  <si>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</si>
  <si>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</si>
  <si>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</si>
  <si>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</si>
  <si>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</si>
  <si>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</si>
  <si>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</si>
  <si>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</si>
  <si>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</si>
  <si>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</si>
  <si>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</si>
  <si>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</si>
  <si>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</si>
  <si>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</si>
  <si>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</si>
  <si>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</si>
  <si>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</si>
  <si>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</si>
  <si>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</si>
  <si>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</si>
  <si>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</si>
  <si>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</si>
  <si>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</si>
  <si>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</si>
  <si>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</si>
  <si>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</si>
  <si>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</si>
  <si>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</si>
  <si>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</si>
  <si>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</si>
  <si>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</si>
  <si>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</si>
  <si>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</si>
  <si>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</si>
  <si>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</si>
  <si>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</si>
  <si>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</si>
  <si>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</si>
  <si>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</si>
  <si>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</si>
  <si>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</si>
  <si>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</si>
  <si>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</si>
  <si>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</si>
  <si>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</si>
  <si>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</si>
  <si>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</si>
  <si>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</si>
  <si>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</si>
  <si>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</si>
  <si>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</si>
  <si>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</si>
  <si>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</si>
  <si>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</si>
  <si>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</si>
  <si>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</si>
  <si>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</si>
  <si>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</si>
  <si>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</si>
  <si>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</si>
  <si>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</si>
  <si>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</si>
  <si>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</si>
  <si>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</si>
  <si>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</si>
  <si>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</si>
  <si>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</si>
  <si>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</si>
  <si>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</si>
  <si>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</si>
  <si>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</si>
  <si>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</si>
  <si>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</si>
  <si>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</si>
  <si>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</si>
  <si>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</si>
  <si>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</si>
  <si>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</si>
  <si>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</si>
  <si>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</si>
  <si>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</si>
  <si>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</si>
  <si>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</si>
  <si>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</si>
  <si>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</si>
  <si>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</si>
  <si>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</si>
  <si>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</si>
  <si>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</si>
  <si>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</si>
  <si>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</si>
  <si>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</si>
  <si>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</si>
  <si>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</si>
  <si>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</si>
  <si>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</si>
  <si>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</si>
  <si>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</si>
  <si>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</si>
  <si>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</si>
  <si>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</si>
  <si>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</si>
  <si>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</si>
  <si>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</si>
  <si>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</si>
  <si>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</si>
  <si>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</si>
  <si>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</si>
  <si>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</si>
  <si>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</si>
  <si>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</si>
  <si>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</si>
  <si>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</si>
  <si>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</si>
  <si>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</si>
  <si>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</si>
  <si>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</si>
  <si>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</si>
  <si>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</si>
  <si>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</si>
  <si>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</si>
  <si>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</si>
  <si>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</si>
  <si>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</si>
  <si>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</si>
  <si>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</si>
  <si>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</si>
  <si>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</si>
  <si>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</si>
  <si>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</si>
  <si>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</si>
  <si>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</si>
  <si>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</si>
  <si>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</si>
  <si>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</si>
  <si>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</si>
  <si>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</si>
  <si>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</si>
  <si>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</si>
  <si>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</si>
  <si>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</si>
  <si>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</si>
  <si>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</si>
  <si>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</si>
  <si>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</si>
  <si>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</si>
  <si>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</si>
  <si>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</si>
  <si>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</si>
  <si>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</si>
  <si>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</si>
  <si>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</si>
  <si>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</si>
  <si>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</si>
  <si>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</si>
  <si>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</si>
  <si>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</si>
  <si>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</si>
  <si>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</si>
  <si>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</si>
  <si>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</si>
  <si>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</si>
  <si>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</si>
  <si>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</si>
  <si>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</si>
  <si>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</si>
  <si>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</si>
  <si>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</si>
  <si>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</si>
  <si>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</si>
  <si>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</si>
  <si>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</si>
  <si>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</si>
  <si>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</si>
  <si>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</si>
  <si>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</si>
  <si>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</si>
  <si>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</si>
  <si>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</si>
  <si>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</si>
  <si>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</si>
  <si>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</si>
  <si>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</si>
  <si>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</si>
  <si>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</si>
  <si>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</si>
  <si>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</si>
  <si>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</si>
  <si>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</si>
  <si>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</si>
  <si>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</si>
  <si>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</si>
  <si>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</si>
  <si>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</si>
  <si>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</si>
  <si>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</si>
  <si>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</si>
  <si>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</si>
  <si>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</si>
  <si>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</si>
  <si>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</si>
  <si>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</si>
  <si>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</si>
  <si>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</si>
  <si>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</si>
  <si>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</si>
  <si>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</si>
  <si>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</si>
  <si>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</si>
  <si>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</si>
  <si>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</si>
  <si>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</si>
  <si>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</si>
  <si>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</si>
  <si>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</si>
  <si>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</si>
  <si>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</si>
  <si>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</si>
  <si>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</si>
  <si>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</si>
  <si>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</si>
  <si>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</si>
  <si>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</si>
  <si>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</si>
  <si>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</si>
  <si>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</si>
  <si>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</si>
  <si>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</si>
  <si>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</si>
  <si>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</si>
  <si>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</si>
  <si>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</si>
  <si>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</si>
  <si>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</si>
  <si>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</si>
  <si>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</si>
  <si>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</si>
  <si>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</si>
  <si>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</si>
  <si>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</si>
  <si>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</si>
  <si>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</si>
  <si>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</si>
  <si>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</si>
  <si>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</si>
  <si>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</si>
  <si>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</si>
  <si>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</si>
  <si>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</si>
  <si>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</si>
  <si>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</si>
  <si>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</si>
  <si>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</si>
  <si>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</si>
  <si>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</si>
  <si>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</si>
  <si>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</si>
  <si>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</si>
  <si>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</si>
  <si>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</si>
  <si>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</si>
  <si>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</si>
  <si>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</si>
  <si>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</si>
  <si>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</si>
  <si>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</si>
  <si>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</si>
  <si>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</si>
  <si>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</si>
  <si>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</si>
  <si>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</si>
  <si>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</si>
  <si>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</si>
  <si>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</si>
  <si>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</si>
  <si>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</si>
  <si>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</si>
  <si>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</si>
  <si>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</si>
  <si>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</si>
  <si>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</si>
  <si>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</si>
  <si>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</si>
  <si>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</si>
  <si>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</si>
  <si>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</si>
  <si>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</si>
  <si>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</si>
  <si>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</si>
  <si>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</si>
  <si>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</si>
  <si>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</si>
  <si>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</si>
  <si>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</si>
  <si>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</si>
  <si>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</si>
  <si>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</si>
  <si>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</si>
  <si>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</si>
  <si>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</si>
  <si>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</si>
  <si>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</si>
  <si>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</si>
  <si>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</si>
  <si>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</si>
  <si>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</si>
  <si>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</si>
  <si>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</si>
  <si>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</si>
  <si>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</si>
  <si>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</si>
  <si>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</si>
  <si>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</si>
  <si>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</si>
  <si>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</si>
  <si>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</si>
  <si>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</si>
  <si>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</si>
  <si>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</si>
  <si>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</si>
  <si>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</si>
  <si>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</si>
  <si>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</si>
  <si>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</si>
  <si>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</si>
  <si>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</si>
  <si>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</si>
  <si>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</si>
  <si>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</si>
  <si>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</si>
  <si>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</si>
  <si>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</si>
  <si>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</si>
  <si>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</si>
  <si>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</si>
  <si>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</si>
  <si>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</si>
  <si>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</si>
  <si>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</si>
  <si>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</si>
  <si>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</si>
  <si>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</si>
  <si>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</si>
  <si>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</si>
  <si>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</si>
  <si>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</si>
  <si>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</si>
  <si>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</si>
  <si>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</si>
  <si>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</si>
  <si>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</si>
  <si>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</si>
  <si>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</si>
  <si>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</si>
  <si>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</si>
  <si>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</si>
  <si>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</si>
  <si>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</si>
  <si>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</si>
  <si>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</si>
  <si>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</si>
  <si>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</si>
  <si>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</si>
  <si>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</si>
  <si>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</si>
  <si>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</si>
  <si>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</si>
  <si>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</si>
  <si>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</si>
  <si>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</si>
  <si>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</si>
  <si>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</si>
  <si>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</si>
  <si>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</si>
  <si>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</si>
  <si>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</si>
  <si>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</si>
  <si>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</si>
  <si>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</si>
  <si>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</si>
  <si>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</si>
  <si>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</si>
  <si>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</si>
  <si>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</si>
  <si>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</si>
  <si>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</si>
  <si>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</si>
  <si>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</si>
  <si>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</si>
  <si>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</si>
  <si>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</si>
  <si>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</si>
  <si>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</si>
  <si>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</si>
  <si>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</si>
  <si>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</si>
  <si>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</si>
  <si>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</si>
  <si>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</si>
  <si>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</si>
  <si>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</si>
  <si>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</si>
  <si>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</si>
  <si>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</si>
  <si>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</si>
  <si>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</si>
  <si>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</si>
  <si>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</si>
  <si>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</si>
  <si>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</si>
  <si>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</si>
  <si>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</si>
  <si>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</si>
  <si>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</si>
  <si>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</si>
  <si>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</si>
  <si>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</si>
  <si>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</si>
  <si>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</si>
  <si>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</si>
  <si>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</si>
  <si>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</si>
  <si>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</si>
  <si>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</si>
  <si>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</si>
  <si>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</si>
  <si>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</si>
  <si>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</si>
  <si>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</si>
  <si>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</si>
  <si>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</si>
  <si>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</si>
  <si>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</si>
  <si>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</si>
  <si>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</si>
  <si>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</si>
  <si>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</si>
  <si>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</si>
  <si>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</si>
  <si>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</si>
  <si>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</si>
  <si>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</si>
  <si>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</si>
  <si>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</si>
  <si>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</si>
  <si>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</si>
  <si>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</si>
  <si>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</si>
  <si>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</si>
  <si>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</si>
  <si>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</si>
  <si>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</si>
  <si>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</si>
  <si>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</si>
  <si>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</si>
  <si>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</si>
  <si>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</si>
  <si>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</si>
  <si>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</si>
  <si>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</si>
  <si>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</si>
  <si>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</si>
  <si>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</si>
  <si>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</si>
  <si>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</si>
  <si>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</si>
  <si>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</si>
  <si>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</si>
  <si>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</si>
  <si>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</si>
  <si>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</si>
  <si>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</si>
  <si>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</si>
  <si>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</si>
  <si>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</si>
  <si>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</si>
  <si>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</si>
  <si>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</si>
  <si>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</si>
  <si>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</si>
  <si>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</si>
  <si>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</si>
  <si>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</si>
  <si>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</si>
  <si>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</si>
  <si>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</si>
  <si>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</si>
  <si>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</si>
  <si>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</si>
  <si>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</si>
  <si>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</si>
  <si>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</si>
  <si>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</si>
  <si>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</si>
  <si>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</si>
  <si>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</si>
  <si>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</si>
  <si>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</si>
  <si>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</si>
  <si>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</si>
  <si>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</si>
  <si>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</si>
  <si>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</si>
  <si>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</si>
  <si>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</si>
  <si>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</si>
  <si>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</si>
  <si>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</si>
  <si>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</si>
  <si>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</si>
  <si>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</si>
  <si>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</si>
  <si>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</si>
  <si>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</si>
  <si>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</si>
  <si>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</si>
  <si>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</si>
  <si>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</si>
  <si>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</si>
  <si>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</si>
  <si>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</si>
  <si>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</si>
  <si>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</si>
  <si>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</si>
  <si>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</si>
  <si>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</si>
  <si>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</si>
  <si>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</si>
  <si>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</si>
  <si>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</si>
  <si>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</si>
  <si>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</si>
  <si>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</si>
  <si>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</si>
  <si>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</si>
  <si>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</si>
  <si>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</si>
  <si>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</si>
  <si>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</si>
  <si>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</si>
  <si>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</si>
  <si>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</si>
  <si>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</si>
  <si>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</si>
  <si>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</si>
  <si>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</si>
  <si>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</si>
  <si>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</si>
  <si>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</si>
  <si>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</si>
  <si>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</si>
  <si>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</si>
  <si>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</si>
  <si>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</si>
  <si>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</si>
  <si>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</si>
  <si>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</si>
  <si>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</si>
  <si>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</si>
  <si>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</si>
  <si>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</si>
  <si>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</si>
  <si>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</si>
  <si>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</si>
  <si>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</si>
  <si>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</si>
  <si>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</si>
  <si>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</si>
  <si>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</si>
  <si>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</si>
  <si>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</si>
  <si>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</si>
  <si>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</si>
  <si>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</si>
  <si>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</si>
  <si>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</si>
  <si>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</si>
  <si>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</si>
  <si>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</si>
  <si>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</si>
  <si>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</si>
  <si>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</si>
  <si>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</si>
  <si>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</si>
  <si>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</si>
  <si>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</si>
  <si>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</si>
  <si>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</si>
  <si>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</si>
  <si>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</si>
  <si>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</si>
  <si>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</si>
  <si>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</si>
  <si>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</si>
  <si>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</si>
  <si>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</si>
  <si>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</si>
  <si>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</si>
  <si>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</si>
  <si>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</si>
  <si>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</si>
  <si>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</si>
  <si>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</si>
  <si>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</si>
  <si>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</si>
  <si>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</si>
  <si>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</si>
  <si>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</si>
  <si>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</si>
  <si>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</si>
  <si>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</si>
  <si>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</si>
  <si>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</si>
  <si>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</si>
  <si>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</si>
  <si>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</si>
  <si>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</si>
  <si>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</si>
  <si>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</si>
  <si>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</si>
  <si>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</si>
  <si>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</si>
  <si>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</si>
  <si>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</si>
  <si>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</si>
  <si>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</si>
  <si>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</si>
  <si>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</si>
  <si>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</si>
  <si>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</si>
  <si>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</si>
  <si>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</si>
  <si>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</si>
  <si>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</si>
  <si>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</si>
  <si>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</si>
  <si>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</si>
  <si>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</si>
  <si>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</si>
  <si>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</si>
  <si>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</si>
  <si>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</si>
  <si>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</si>
  <si>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</si>
  <si>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</si>
  <si>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</si>
  <si>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</si>
  <si>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</si>
  <si>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</si>
  <si>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</si>
  <si>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</si>
  <si>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</si>
  <si>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</si>
  <si>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</si>
  <si>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</si>
  <si>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</si>
  <si>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</si>
  <si>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</si>
  <si>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</si>
  <si>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</si>
  <si>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</si>
  <si>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</si>
  <si>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</si>
  <si>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</si>
  <si>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</si>
  <si>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</si>
  <si>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</si>
  <si>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</si>
  <si>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</si>
  <si>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</si>
  <si>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</si>
  <si>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</si>
  <si>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</si>
  <si>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</si>
  <si>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</si>
  <si>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</si>
  <si>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</si>
  <si>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</si>
  <si>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</si>
  <si>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</si>
  <si>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</si>
  <si>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</si>
  <si>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</si>
  <si>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</si>
  <si>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</si>
  <si>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</si>
  <si>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</si>
  <si>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</si>
  <si>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</si>
  <si>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</si>
  <si>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</si>
  <si>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</si>
  <si>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</si>
  <si>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</si>
  <si>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</si>
  <si>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</si>
  <si>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</si>
  <si>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</si>
  <si>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</si>
  <si>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</si>
  <si>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</si>
  <si>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</si>
  <si>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</si>
  <si>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</si>
  <si>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</si>
  <si>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</si>
  <si>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</si>
  <si>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</si>
  <si>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</si>
  <si>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</si>
  <si>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</si>
  <si>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</si>
  <si>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</si>
  <si>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</si>
  <si>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</si>
  <si>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</si>
  <si>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</si>
  <si>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</si>
  <si>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</si>
  <si>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</si>
  <si>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</si>
  <si>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</si>
  <si>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</si>
  <si>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</si>
  <si>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</si>
  <si>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</si>
  <si>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</si>
  <si>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</si>
  <si>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</si>
  <si>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</si>
  <si>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</si>
  <si>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</si>
  <si>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</si>
  <si>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</si>
  <si>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</si>
  <si>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</si>
  <si>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</si>
  <si>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</si>
  <si>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</si>
  <si>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</si>
  <si>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</si>
  <si>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</si>
  <si>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</si>
  <si>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</si>
  <si>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</si>
  <si>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</si>
  <si>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</si>
  <si>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</si>
  <si>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</si>
  <si>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</si>
  <si>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</si>
  <si>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</si>
  <si>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</si>
  <si>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</si>
  <si>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</si>
  <si>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</si>
  <si>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</si>
  <si>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</si>
  <si>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</si>
  <si>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</si>
  <si>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</si>
  <si>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</si>
  <si>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</si>
  <si>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</si>
  <si>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</si>
  <si>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</si>
  <si>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</si>
  <si>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</si>
  <si>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</si>
  <si>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</si>
  <si>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</si>
  <si>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</si>
  <si>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</si>
  <si>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</si>
  <si>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</si>
  <si>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</si>
  <si>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</si>
  <si>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</si>
  <si>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</si>
  <si>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</si>
  <si>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</si>
  <si>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</si>
  <si>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</si>
  <si>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</si>
  <si>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</si>
  <si>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</si>
  <si>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</si>
  <si>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</si>
  <si>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</si>
  <si>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</si>
  <si>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</si>
  <si>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</si>
  <si>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</si>
  <si>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</si>
  <si>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</si>
  <si>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</si>
  <si>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</si>
  <si>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</si>
  <si>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</si>
  <si>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</si>
  <si>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</si>
  <si>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</si>
  <si>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</si>
  <si>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</si>
  <si>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</si>
  <si>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</si>
  <si>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</si>
  <si>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</si>
  <si>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</si>
  <si>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</si>
  <si>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</si>
  <si>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</si>
  <si>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</si>
  <si>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</si>
  <si>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</si>
  <si>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</si>
  <si>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</si>
  <si>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</si>
  <si>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</si>
  <si>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</si>
  <si>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</si>
  <si>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</si>
  <si>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</si>
  <si>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</si>
  <si>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</si>
  <si>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</si>
  <si>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</si>
  <si>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</si>
  <si>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</si>
  <si>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</si>
  <si>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</si>
  <si>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</si>
  <si>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</si>
  <si>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</si>
  <si>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</si>
  <si>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</si>
  <si>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</si>
  <si>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</si>
  <si>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</si>
  <si>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</si>
  <si>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</si>
  <si>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</si>
  <si>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</si>
  <si>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</si>
  <si>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</si>
  <si>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</si>
  <si>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</si>
  <si>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</si>
  <si>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</si>
  <si>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</si>
  <si>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</si>
  <si>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</si>
  <si>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</si>
  <si>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</si>
  <si>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</si>
  <si>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</si>
  <si>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</si>
  <si>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</si>
  <si>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</si>
  <si>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</si>
  <si>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</si>
  <si>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</si>
  <si>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</si>
  <si>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</si>
  <si>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</si>
  <si>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</si>
  <si>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</si>
  <si>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</si>
  <si>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</si>
  <si>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</si>
  <si>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</si>
  <si>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</si>
  <si>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</si>
  <si>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</si>
  <si>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</si>
  <si>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</si>
  <si>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</si>
  <si>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</si>
  <si>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</si>
  <si>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</si>
  <si>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</si>
  <si>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</si>
  <si>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</si>
  <si>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</si>
  <si>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</si>
  <si>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</si>
  <si>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</si>
  <si>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</si>
  <si>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</si>
  <si>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</si>
  <si>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</si>
  <si>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</si>
  <si>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</si>
  <si>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</si>
  <si>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</si>
  <si>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</si>
  <si>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</si>
  <si>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</si>
  <si>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</si>
  <si>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</si>
  <si>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</si>
  <si>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</si>
  <si>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</si>
  <si>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</si>
  <si>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</si>
  <si>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</si>
  <si>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</si>
  <si>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</si>
  <si>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</si>
  <si>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</si>
  <si>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</si>
  <si>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</si>
  <si>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</si>
  <si>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</si>
  <si>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</si>
  <si>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</si>
  <si>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</si>
  <si>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</si>
  <si>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</si>
  <si>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</si>
  <si>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</si>
  <si>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</si>
  <si>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</si>
  <si>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</si>
  <si>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</si>
  <si>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</si>
  <si>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</si>
  <si>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</si>
  <si>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</si>
  <si>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</si>
  <si>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</si>
  <si>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</si>
  <si>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</si>
  <si>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</si>
  <si>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</si>
  <si>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</si>
  <si>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</si>
  <si>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</si>
  <si>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</si>
  <si>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</si>
  <si>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</si>
  <si>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</si>
  <si>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</si>
  <si>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</si>
  <si>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</si>
  <si>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</si>
  <si>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</si>
  <si>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</si>
  <si>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</si>
  <si>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</si>
  <si>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</si>
  <si>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</si>
  <si>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</si>
  <si>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</si>
  <si>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</si>
  <si>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</si>
  <si>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</si>
  <si>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</si>
  <si>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</si>
  <si>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</si>
  <si>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</si>
  <si>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</si>
  <si>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</si>
  <si>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</si>
  <si>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</si>
  <si>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</si>
  <si>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</si>
  <si>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</si>
  <si>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</si>
  <si>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</si>
  <si>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</si>
  <si>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</si>
  <si>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</si>
  <si>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</si>
  <si>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</si>
  <si>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</si>
  <si>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</si>
  <si>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</si>
  <si>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</si>
  <si>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</si>
  <si>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</si>
  <si>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</si>
  <si>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</si>
  <si>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</si>
  <si>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</si>
  <si>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</si>
  <si>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</si>
  <si>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</si>
  <si>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</si>
  <si>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</si>
  <si>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</si>
  <si>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</si>
  <si>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</si>
  <si>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</si>
  <si>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</si>
  <si>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</si>
  <si>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</si>
  <si>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</si>
  <si>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</si>
  <si>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</si>
  <si>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</si>
  <si>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</si>
  <si>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</si>
  <si>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</si>
  <si>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</si>
  <si>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</si>
  <si>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</si>
  <si>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</si>
  <si>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</si>
  <si>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</si>
  <si>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</si>
  <si>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</si>
  <si>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</si>
  <si>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</si>
  <si>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</si>
  <si>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</si>
  <si>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</si>
  <si>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</si>
  <si>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</si>
  <si>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</si>
  <si>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</si>
  <si>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</si>
  <si>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</si>
  <si>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</si>
  <si>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</si>
  <si>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</si>
  <si>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</si>
  <si>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</si>
  <si>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</si>
  <si>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</si>
  <si>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</si>
  <si>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</si>
  <si>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</si>
  <si>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</si>
  <si>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</si>
  <si>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</si>
  <si>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</si>
  <si>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</si>
  <si>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</si>
  <si>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</si>
  <si>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</si>
  <si>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</si>
  <si>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</si>
  <si>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</si>
  <si>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</si>
  <si>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</si>
  <si>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</si>
  <si>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</si>
  <si>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</si>
  <si>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</si>
  <si>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</si>
  <si>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</si>
  <si>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</si>
  <si>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</si>
  <si>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</si>
  <si>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</si>
  <si>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</si>
  <si>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</si>
  <si>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</si>
  <si>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</si>
  <si>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</si>
  <si>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</si>
  <si>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</si>
  <si>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</si>
  <si>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</si>
  <si>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</si>
  <si>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</si>
  <si>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</si>
  <si>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</si>
  <si>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</si>
  <si>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</si>
  <si>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</si>
  <si>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</si>
  <si>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</si>
  <si>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</si>
  <si>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</si>
  <si>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</si>
  <si>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</si>
  <si>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</si>
  <si>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</si>
  <si>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</si>
  <si>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</si>
  <si>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</si>
  <si>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</si>
  <si>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</si>
  <si>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</si>
  <si>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</si>
  <si>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</si>
  <si>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</si>
  <si>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</si>
  <si>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</si>
  <si>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</si>
  <si>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</si>
  <si>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</si>
  <si>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</si>
  <si>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</si>
  <si>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</si>
  <si>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</si>
  <si>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</si>
  <si>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</si>
  <si>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</si>
  <si>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</si>
  <si>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</si>
  <si>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</si>
  <si>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</si>
  <si>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</si>
  <si>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</si>
  <si>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</si>
  <si>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</si>
  <si>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</si>
  <si>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</si>
  <si>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</si>
  <si>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</si>
  <si>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</si>
  <si>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</si>
  <si>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</si>
  <si>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</si>
  <si>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</si>
  <si>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</si>
  <si>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</si>
  <si>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</si>
  <si>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</si>
  <si>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</si>
  <si>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</si>
  <si>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</si>
  <si>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</si>
  <si>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</si>
  <si>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</si>
  <si>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</si>
  <si>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</si>
  <si>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</si>
  <si>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</si>
  <si>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</si>
  <si>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</si>
  <si>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</si>
  <si>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</si>
  <si>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</si>
  <si>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</si>
  <si>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</si>
  <si>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</si>
  <si>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</si>
  <si>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</si>
  <si>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</si>
  <si>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</si>
  <si>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</si>
  <si>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</si>
  <si>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</si>
  <si>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</si>
  <si>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</si>
  <si>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</si>
  <si>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</si>
  <si>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</si>
  <si>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</si>
  <si>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</si>
  <si>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</si>
  <si>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</si>
  <si>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</si>
  <si>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</si>
  <si>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</si>
  <si>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</si>
  <si>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</si>
  <si>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</si>
  <si>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</si>
  <si>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</si>
  <si>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</si>
  <si>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</si>
  <si>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</si>
  <si>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</si>
  <si>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</si>
  <si>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</si>
  <si>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</si>
  <si>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</si>
  <si>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</si>
  <si>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</si>
  <si>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</si>
  <si>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</si>
  <si>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</si>
  <si>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</si>
  <si>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</si>
  <si>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</si>
  <si>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</si>
  <si>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</si>
  <si>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</si>
  <si>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</si>
  <si>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</si>
  <si>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</si>
  <si>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</si>
  <si>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</si>
  <si>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</si>
  <si>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</si>
  <si>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</si>
  <si>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</si>
  <si>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</si>
  <si>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</si>
  <si>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</si>
  <si>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</si>
  <si>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</si>
  <si>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</si>
  <si>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</si>
  <si>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</si>
  <si>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</si>
  <si>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</si>
  <si>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</si>
  <si>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</si>
  <si>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</si>
  <si>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</si>
  <si>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</si>
  <si>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</si>
  <si>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</si>
  <si>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</si>
  <si>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</si>
  <si>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</si>
  <si>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</si>
  <si>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</si>
  <si>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</si>
  <si>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</si>
  <si>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</si>
  <si>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</si>
  <si>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</si>
  <si>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</si>
  <si>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</si>
  <si>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</si>
  <si>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</si>
  <si>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</si>
  <si>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</si>
  <si>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</si>
  <si>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</si>
  <si>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</si>
  <si>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</si>
  <si>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</si>
  <si>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</si>
  <si>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</si>
  <si>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</si>
  <si>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</si>
  <si>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</si>
  <si>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</si>
  <si>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</si>
  <si>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</si>
  <si>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</si>
  <si>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</si>
  <si>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</si>
  <si>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</si>
  <si>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</si>
  <si>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</si>
  <si>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</si>
  <si>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</si>
  <si>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</si>
  <si>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</si>
  <si>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</si>
  <si>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</si>
  <si>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</si>
  <si>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</si>
  <si>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</si>
  <si>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</si>
  <si>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</si>
  <si>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</si>
  <si>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</si>
  <si>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</si>
  <si>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</si>
  <si>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</si>
  <si>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</si>
  <si>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</si>
  <si>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</si>
  <si>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</si>
  <si>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</si>
  <si>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</si>
  <si>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</si>
  <si>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</si>
  <si>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</si>
  <si>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</si>
  <si>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</si>
  <si>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</si>
  <si>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</si>
  <si>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</si>
  <si>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</si>
  <si>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</si>
  <si>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</si>
  <si>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</si>
  <si>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</si>
  <si>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</si>
  <si>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</si>
  <si>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</si>
  <si>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</si>
  <si>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</si>
  <si>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</si>
  <si>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</si>
  <si>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</si>
  <si>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</si>
  <si>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</si>
  <si>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</si>
  <si>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</si>
  <si>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</si>
  <si>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</si>
  <si>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</si>
  <si>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</si>
  <si>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</si>
  <si>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</si>
  <si>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</si>
  <si>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</si>
  <si>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</si>
  <si>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</si>
  <si>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</si>
  <si>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</si>
  <si>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</si>
  <si>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</si>
  <si>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</si>
  <si>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</si>
  <si>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</si>
  <si>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</si>
  <si>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</si>
  <si>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</si>
  <si>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</si>
  <si>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</si>
  <si>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</si>
  <si>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</si>
  <si>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</si>
  <si>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</si>
  <si>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</si>
  <si>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</si>
  <si>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</si>
  <si>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</si>
  <si>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</si>
  <si>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</si>
  <si>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</si>
  <si>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</si>
  <si>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</si>
  <si>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</si>
  <si>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</si>
  <si>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</si>
  <si>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</si>
  <si>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</si>
  <si>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</si>
  <si>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</si>
  <si>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</si>
  <si>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</si>
  <si>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</si>
  <si>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</si>
  <si>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</si>
  <si>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</si>
  <si>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</si>
  <si>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</si>
  <si>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</si>
  <si>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</si>
  <si>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</si>
  <si>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</si>
  <si>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</si>
  <si>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</si>
  <si>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</si>
  <si>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</si>
  <si>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</si>
  <si>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</si>
  <si>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</si>
  <si>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</si>
  <si>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</si>
  <si>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</si>
  <si>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</si>
  <si>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</si>
  <si>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</si>
  <si>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</si>
  <si>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</si>
  <si>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</si>
  <si>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</si>
  <si>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</si>
  <si>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</si>
  <si>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</si>
  <si>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</si>
  <si>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</si>
  <si>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</si>
  <si>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</si>
  <si>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</si>
  <si>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</si>
  <si>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</si>
  <si>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</si>
  <si>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</si>
  <si>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</si>
  <si>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</si>
  <si>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</si>
  <si>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</si>
  <si>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</si>
  <si>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</si>
  <si>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</si>
  <si>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</si>
  <si>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</si>
  <si>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</si>
  <si>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</si>
  <si>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</si>
  <si>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</si>
  <si>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</si>
  <si>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</si>
  <si>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</si>
  <si>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</si>
  <si>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</si>
  <si>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</si>
  <si>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</si>
  <si>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</si>
  <si>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</si>
  <si>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</si>
  <si>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</si>
  <si>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</si>
  <si>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</si>
  <si>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</si>
  <si>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</si>
  <si>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</si>
  <si>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</si>
  <si>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</si>
  <si>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</si>
  <si>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</si>
  <si>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</si>
  <si>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</si>
  <si>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</si>
  <si>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</si>
  <si>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</si>
  <si>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</si>
  <si>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</si>
  <si>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</si>
  <si>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</si>
  <si>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</si>
  <si>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</si>
  <si>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</si>
  <si>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</si>
  <si>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</si>
  <si>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</si>
  <si>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</si>
  <si>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</si>
  <si>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</si>
  <si>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</si>
  <si>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</si>
  <si>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</si>
  <si>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</si>
  <si>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</si>
  <si>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</si>
  <si>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</si>
  <si>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</si>
  <si>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</si>
  <si>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</si>
  <si>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</si>
  <si>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</si>
  <si>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</si>
  <si>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</si>
  <si>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</si>
  <si>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</si>
  <si>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</si>
  <si>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</si>
  <si>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</si>
  <si>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</si>
  <si>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</si>
  <si>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</si>
  <si>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</si>
  <si>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</si>
  <si>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</si>
  <si>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</si>
  <si>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</si>
  <si>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</si>
  <si>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</si>
  <si>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</si>
  <si>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</si>
  <si>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</si>
  <si>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</si>
  <si>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</si>
  <si>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</si>
  <si>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</si>
  <si>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</si>
  <si>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</si>
  <si>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</si>
  <si>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</si>
  <si>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</si>
  <si>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</si>
  <si>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</si>
  <si>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</si>
  <si>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</si>
  <si>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</si>
  <si>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</si>
  <si>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</si>
  <si>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</si>
  <si>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</si>
  <si>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</si>
  <si>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</si>
  <si>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</si>
  <si>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</si>
  <si>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</si>
  <si>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</si>
  <si>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</si>
  <si>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</si>
  <si>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</si>
  <si>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</si>
  <si>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</si>
  <si>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</si>
  <si>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</si>
  <si>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</si>
  <si>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</si>
  <si>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</si>
  <si>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</si>
  <si>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</si>
  <si>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</si>
  <si>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</si>
  <si>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</si>
  <si>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</si>
  <si>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</si>
  <si>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</si>
  <si>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</si>
  <si>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</si>
  <si>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</si>
  <si>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</si>
  <si>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</si>
  <si>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</si>
  <si>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</si>
  <si>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</si>
  <si>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</si>
  <si>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</si>
  <si>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</si>
  <si>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</si>
  <si>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</si>
  <si>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</si>
  <si>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</si>
  <si>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</si>
  <si>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</si>
  <si>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</si>
  <si>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</si>
  <si>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</si>
  <si>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</si>
  <si>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</si>
  <si>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</si>
  <si>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</si>
  <si>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</si>
  <si>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</si>
  <si>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</si>
  <si>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</si>
  <si>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</si>
  <si>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</si>
  <si>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</si>
  <si>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</si>
  <si>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</si>
  <si>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</si>
  <si>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</si>
  <si>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</si>
  <si>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</si>
  <si>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</si>
  <si>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</si>
  <si>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</si>
  <si>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</si>
  <si>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</si>
  <si>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</si>
  <si>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</si>
  <si>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</si>
  <si>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</si>
  <si>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</si>
  <si>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</si>
  <si>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</si>
  <si>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</si>
  <si>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</si>
  <si>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</si>
  <si>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</si>
  <si>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</si>
  <si>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</si>
  <si>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</si>
  <si>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</si>
  <si>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</si>
  <si>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</si>
  <si>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</si>
  <si>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</si>
  <si>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</si>
  <si>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</si>
  <si>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</si>
  <si>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</si>
  <si>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</si>
  <si>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</si>
  <si>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</si>
  <si>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</si>
  <si>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</si>
  <si>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</si>
  <si>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</si>
  <si>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</si>
  <si>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</si>
  <si>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</si>
  <si>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</si>
  <si>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</si>
  <si>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</si>
  <si>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</si>
  <si>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</si>
  <si>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</si>
  <si>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</si>
  <si>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</si>
  <si>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</si>
  <si>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</si>
  <si>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</si>
  <si>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</si>
  <si>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</si>
  <si>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</si>
  <si>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</si>
  <si>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</si>
  <si>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</si>
  <si>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</si>
  <si>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</si>
  <si>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</si>
  <si>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</si>
  <si>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</si>
  <si>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</si>
  <si>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</si>
  <si>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</si>
  <si>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</si>
  <si>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</si>
  <si>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</si>
  <si>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</si>
  <si>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</si>
  <si>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</si>
  <si>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</si>
  <si>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</si>
  <si>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</si>
  <si>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</si>
  <si>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</si>
  <si>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</si>
  <si>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</si>
  <si>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</si>
  <si>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</si>
  <si>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</si>
  <si>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</si>
  <si>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</si>
  <si>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</si>
  <si>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</si>
  <si>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</si>
  <si>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</si>
  <si>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</si>
  <si>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</si>
  <si>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</si>
  <si>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</si>
  <si>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</si>
  <si>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</si>
  <si>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</si>
  <si>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</si>
  <si>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</si>
  <si>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</si>
  <si>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</si>
  <si>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</si>
  <si>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</si>
  <si>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</si>
  <si>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</si>
  <si>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</si>
  <si>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</si>
  <si>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</si>
  <si>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</si>
  <si>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</si>
  <si>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</si>
  <si>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</si>
  <si>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</si>
  <si>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</si>
  <si>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</si>
  <si>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</si>
  <si>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</si>
  <si>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</si>
  <si>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</si>
  <si>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</si>
  <si>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</si>
  <si>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</si>
  <si>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</si>
  <si>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</si>
  <si>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</si>
  <si>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</si>
  <si>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</si>
  <si>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</si>
  <si>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</si>
  <si>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</si>
  <si>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</si>
  <si>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</si>
  <si>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</si>
  <si>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</si>
  <si>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</si>
  <si>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</si>
  <si>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</si>
  <si>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</si>
  <si>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</si>
  <si>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</si>
  <si>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</si>
  <si>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</si>
  <si>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</si>
  <si>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</si>
  <si>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</si>
  <si>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</si>
  <si>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</si>
  <si>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GRAVONE</t>
  </si>
  <si>
    <t xml:space="preserve">Bocognano</t>
  </si>
  <si>
    <t xml:space="preserve">06215900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</si>
  <si>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</si>
  <si>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</si>
  <si>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</si>
  <si>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</si>
  <si>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</si>
  <si>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</si>
  <si>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</si>
  <si>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</si>
  <si>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cascade</t>
  </si>
  <si>
    <t xml:space="preserve">pl. lent</t>
  </si>
  <si>
    <t xml:space="preserve">niv. trophique:</t>
  </si>
  <si>
    <t xml:space="preserve">très faible</t>
  </si>
  <si>
    <t xml:space="preserve">(très 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</si>
  <si>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</si>
  <si>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</si>
  <si>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</si>
  <si>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</si>
  <si>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</si>
  <si>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</si>
  <si>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</si>
  <si>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</si>
  <si>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</si>
  <si>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</si>
  <si>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</si>
  <si>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</si>
  <si>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</si>
  <si>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</si>
  <si>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</si>
  <si>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</si>
  <si>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</si>
  <si>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</si>
  <si>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</si>
  <si>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</si>
  <si>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</si>
  <si>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</si>
  <si>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</si>
  <si>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</si>
  <si>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</si>
  <si>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</si>
  <si>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</si>
  <si>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</si>
  <si>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</si>
  <si>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</si>
  <si>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</si>
  <si>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</si>
  <si>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</si>
  <si>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</si>
  <si>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</si>
  <si>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</si>
  <si>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(6,33235 %)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</si>
  <si>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</si>
  <si>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</si>
  <si>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</si>
  <si>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</si>
  <si>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</si>
  <si>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</si>
  <si>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</si>
  <si>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</si>
  <si>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</si>
  <si>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</si>
  <si>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</si>
  <si>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</si>
  <si>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</si>
  <si>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</si>
  <si>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</si>
  <si>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</si>
  <si>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</si>
  <si>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</si>
  <si>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Carex remota</t>
  </si>
  <si>
    <t xml:space="preserve">Carex microcarpa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</si>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</sst>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5" borderId="65" xfId="0" applyFont="true" applyBorder="true" applyAlignment="true" applyProtection="true">
      <alignment horizontal="right" vertical="top" textRotation="0" wrapText="false" indent="0" shrinkToFit="false"/>
      <protection locked="true" hidden="true"/>
    </xf>
    <xf numFmtId="172" fontId="44" fillId="25" borderId="66" xfId="0" applyFont="true" applyBorder="true" applyAlignment="true" applyProtection="true">
      <alignment horizontal="left" vertical="top" textRotation="0" wrapText="false" indent="0" shrinkToFit="false"/>
      <protection locked="true" hidden="true"/>
    </xf>
    <xf numFmtId="172" fontId="75" fillId="25" borderId="58" xfId="0" applyFont="true" applyBorder="true" applyAlignment="true" applyProtection="true">
      <alignment horizontal="left" vertical="top" textRotation="0" wrapText="false" indent="0" shrinkToFit="false"/>
      <protection locked="true" hidden="true"/>
    </xf>
    <xf numFmtId="172" fontId="37" fillId="2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5" borderId="69" xfId="0" applyFont="true" applyBorder="true" applyAlignment="true" applyProtection="true">
      <alignment horizontal="left" vertical="bottom" textRotation="0" wrapText="false" indent="0" shrinkToFit="false"/>
      <protection locked="true" hidden="true"/>
    </xf>
    <xf numFmtId="164" fontId="43" fillId="25" borderId="70" xfId="0" applyFont="true" applyBorder="true" applyAlignment="true" applyProtection="true">
      <alignment horizontal="right" vertical="top" textRotation="0" wrapText="false" indent="0" shrinkToFit="false"/>
      <protection locked="true" hidden="true"/>
    </xf>
    <xf numFmtId="164" fontId="106" fillId="2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15.1666666666667</v>
      </c>
      <c r="M5" s="293"/>
      <c r="N5" s="294"/>
      <c r="O5" s="295" t="n">
        <v>14.8888888888889</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93</v>
      </c>
      <c r="C7" s="307" t="n">
        <v>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12.75</v>
      </c>
      <c r="O8" s="323" t="n">
        <f aca="false">AVERAGE(J23:J82)</f>
        <v>1.875</v>
      </c>
      <c r="P8" s="324"/>
      <c r="Q8" s="250"/>
      <c r="R8" s="250"/>
      <c r="S8" s="250"/>
      <c r="T8" s="250"/>
      <c r="U8" s="250"/>
      <c r="V8" s="250"/>
      <c r="W8" s="262"/>
      <c r="X8" s="263"/>
    </row>
    <row r="9" customFormat="false" ht="13.5" hidden="false" customHeight="false" outlineLevel="0" collapsed="false">
      <c r="A9" s="283" t="s">
        <v>2636</v>
      </c>
      <c r="B9" s="325" t="n">
        <v>6.7</v>
      </c>
      <c r="C9" s="326" t="n">
        <v>1.3</v>
      </c>
      <c r="D9" s="327"/>
      <c r="E9" s="327"/>
      <c r="F9" s="328" t="n">
        <f aca="false">($B9*$B$7+$C9*$C$7)/100</f>
        <v>6.322</v>
      </c>
      <c r="G9" s="329"/>
      <c r="H9" s="330"/>
      <c r="I9" s="331"/>
      <c r="J9" s="332"/>
      <c r="K9" s="313"/>
      <c r="L9" s="333"/>
      <c r="M9" s="322" t="s">
        <v>2637</v>
      </c>
      <c r="N9" s="323" t="n">
        <f aca="false">STDEV(I23:I82)</f>
        <v>5.87367006223537</v>
      </c>
      <c r="O9" s="323" t="n">
        <f aca="false">STDEV(J23:J82)</f>
        <v>0.991031208965115</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8</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1</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4</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6.71</v>
      </c>
      <c r="C20" s="405" t="n">
        <f aca="false">SUM(C23:C82)</f>
        <v>1.315</v>
      </c>
      <c r="D20" s="406"/>
      <c r="E20" s="407" t="s">
        <v>2660</v>
      </c>
      <c r="F20" s="408" t="n">
        <f aca="false">($B20*$B$7+$C20*$C$7)/100</f>
        <v>6.33235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6.2403</v>
      </c>
      <c r="C21" s="418" t="n">
        <f aca="false">C20*C7/100</f>
        <v>0.09205</v>
      </c>
      <c r="D21" s="350" t="str">
        <f aca="false">IF(F21=0,"",IF((ABS(F21-F19))&gt;(0.2*F21),CONCATENATE(" rec. par taxa (",F21," %) supérieur à 20 % !"),""))</f>
        <v> rec. par taxa (6,33235 %) supérieur à 20 % !</v>
      </c>
      <c r="E21" s="419" t="str">
        <f aca="false">IF(F21=0,"",IF((ABS(F21-F19))&gt;(0.2*F21),CONCATENATE("ATTENTION : écart entre rec. par grp (",F19," %) ","et",""),""))</f>
        <v>ATTENTION : écart entre rec. par grp (0 %) et</v>
      </c>
      <c r="F21" s="420" t="n">
        <f aca="false">B21+C21</f>
        <v>6.33235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0.0465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0.0465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675</v>
      </c>
      <c r="B24" s="463"/>
      <c r="C24" s="464" t="n">
        <v>0.5</v>
      </c>
      <c r="D24" s="465" t="str">
        <f aca="false">IF(ISERROR(VLOOKUP($A24,'liste reference'!$A$7:$D$892,2,0)),IF(ISERROR(VLOOKUP($A24,'liste reference'!$B$7:$D$892,1,0)),"",VLOOKUP($A24,'liste reference'!$B$7:$D$892,1,0)),VLOOKUP($A24,'liste reference'!$A$7:$D$892,2,0))</f>
        <v>Diatoma sp.</v>
      </c>
      <c r="E24" s="465" t="e">
        <f aca="false">IF(D24="",0,VLOOKUP(D24,D$22:D23,1,0))</f>
        <v>#N/A</v>
      </c>
      <c r="F24" s="466" t="n">
        <f aca="false">($B24*$B$7+$C24*$C$7)/100</f>
        <v>0.035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12</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Diatoma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6627</v>
      </c>
      <c r="Q24" s="455" t="n">
        <f aca="false">IF(ISTEXT(H24),"",(B24*$B$7/100)+(C24*$C$7/100))</f>
        <v>0.035</v>
      </c>
      <c r="R24" s="456" t="n">
        <f aca="false">IF(OR(ISTEXT(H24),Q24=0),"",IF(Q24&lt;0.1,1,IF(Q24&lt;1,2,IF(Q24&lt;10,3,IF(Q24&lt;50,4,IF(Q24&gt;=50,5,""))))))</f>
        <v>1</v>
      </c>
      <c r="S24" s="456" t="n">
        <f aca="false">IF(ISERROR(R24*I24),0,R24*I24)</f>
        <v>12</v>
      </c>
      <c r="T24" s="456" t="n">
        <f aca="false">IF(ISERROR(R24*I24*J24),0,R24*I24*J24)</f>
        <v>24</v>
      </c>
      <c r="U24" s="470" t="n">
        <f aca="false">IF(ISERROR(R24*J24),0,R24*J24)</f>
        <v>2</v>
      </c>
      <c r="V24" s="457" t="n">
        <v>2</v>
      </c>
      <c r="W24" s="471"/>
      <c r="Y24" s="459" t="str">
        <f aca="false">IF(A24="new.cod","NEWCOD",IF(AND((Z24=""),ISTEXT(A24)),A24,IF(Z24="","",INDEX('liste reference'!$A$7:$A$892,Z24))))</f>
        <v>DIASPX</v>
      </c>
      <c r="Z24" s="250" t="n">
        <f aca="false">IF(ISERROR(MATCH(A24,'liste reference'!$A$7:$A$892,0)),IF(ISERROR(MATCH(A24,'liste reference'!$B$7:$B$892,0)),"",(MATCH(A24,'liste reference'!$B$7:$B$892,0))),(MATCH(A24,'liste reference'!$A$7:$A$892,0)))</f>
        <v>210</v>
      </c>
      <c r="AA24" s="460"/>
      <c r="AB24" s="461"/>
      <c r="AC24" s="461"/>
      <c r="BC24" s="250" t="n">
        <f aca="false">IF(A24="","",1)</f>
        <v>1</v>
      </c>
    </row>
    <row r="25" customFormat="false" ht="12.75" hidden="false" customHeight="false" outlineLevel="0" collapsed="false">
      <c r="A25" s="462" t="s">
        <v>701</v>
      </c>
      <c r="B25" s="463"/>
      <c r="C25" s="464" t="n">
        <v>0.03</v>
      </c>
      <c r="D25" s="465" t="str">
        <f aca="false">IF(ISERROR(VLOOKUP($A25,'liste reference'!$A$7:$D$892,2,0)),IF(ISERROR(VLOOKUP($A25,'liste reference'!$B$7:$D$892,1,0)),"",VLOOKUP($A25,'liste reference'!$B$7:$D$892,1,0)),VLOOKUP($A25,'liste reference'!$A$7:$D$892,2,0))</f>
        <v>Draparnaldia sp.</v>
      </c>
      <c r="E25" s="465" t="e">
        <f aca="false">IF(D25="",0,VLOOKUP(D25,D$22:D24,1,0))</f>
        <v>#N/A</v>
      </c>
      <c r="F25" s="466" t="n">
        <f aca="false">($B25*$B$7+$C25*$C$7)/100</f>
        <v>0.0021</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18</v>
      </c>
      <c r="J25" s="451" t="n">
        <f aca="false">IF(ISNUMBER(H25),IF(ISERROR(VLOOKUP($A25,'liste reference'!$A$7:$P$892,4,0)),IF(ISERROR(VLOOKUP($A25,'liste reference'!$B$7:$P$892,3,0)),"",VLOOKUP($A25,'liste reference'!$B$7:$P$892,3,0)),VLOOKUP($A25,'liste reference'!$A$7:$P$892,4,0)),"")</f>
        <v>3</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Draparnaldia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1118</v>
      </c>
      <c r="Q25" s="455" t="n">
        <f aca="false">IF(ISTEXT(H25),"",(B25*$B$7/100)+(C25*$C$7/100))</f>
        <v>0.0021</v>
      </c>
      <c r="R25" s="456" t="n">
        <f aca="false">IF(OR(ISTEXT(H25),Q25=0),"",IF(Q25&lt;0.1,1,IF(Q25&lt;1,2,IF(Q25&lt;10,3,IF(Q25&lt;50,4,IF(Q25&gt;=50,5,""))))))</f>
        <v>1</v>
      </c>
      <c r="S25" s="456" t="n">
        <f aca="false">IF(ISERROR(R25*I25),0,R25*I25)</f>
        <v>18</v>
      </c>
      <c r="T25" s="456" t="n">
        <f aca="false">IF(ISERROR(R25*I25*J25),0,R25*I25*J25)</f>
        <v>54</v>
      </c>
      <c r="U25" s="470" t="n">
        <f aca="false">IF(ISERROR(R25*J25),0,R25*J25)</f>
        <v>3</v>
      </c>
      <c r="V25" s="457" t="n">
        <v>3</v>
      </c>
      <c r="W25" s="458"/>
      <c r="Y25" s="459" t="str">
        <f aca="false">IF(A25="new.cod","NEWCOD",IF(AND((Z25=""),ISTEXT(A25)),A25,IF(Z25="","",INDEX('liste reference'!$A$7:$A$892,Z25))))</f>
        <v>DRASPX</v>
      </c>
      <c r="Z25" s="250" t="n">
        <f aca="false">IF(ISERROR(MATCH(A25,'liste reference'!$A$7:$A$892,0)),IF(ISERROR(MATCH(A25,'liste reference'!$B$7:$B$892,0)),"",(MATCH(A25,'liste reference'!$B$7:$B$892,0))),(MATCH(A25,'liste reference'!$A$7:$A$892,0)))</f>
        <v>217</v>
      </c>
      <c r="AA25" s="460"/>
      <c r="AB25" s="461"/>
      <c r="AC25" s="461"/>
      <c r="BC25" s="250" t="n">
        <f aca="false">IF(A25="","",1)</f>
        <v>1</v>
      </c>
    </row>
    <row r="26" customFormat="false" ht="12.75" hidden="false" customHeight="false" outlineLevel="0" collapsed="false">
      <c r="A26" s="462" t="s">
        <v>1107</v>
      </c>
      <c r="B26" s="463" t="n">
        <v>4.2</v>
      </c>
      <c r="C26" s="464"/>
      <c r="D26" s="465" t="str">
        <f aca="false">IF(ISERROR(VLOOKUP($A26,'liste reference'!$A$7:$D$892,2,0)),IF(ISERROR(VLOOKUP($A26,'liste reference'!$B$7:$D$892,1,0)),"",VLOOKUP($A26,'liste reference'!$B$7:$D$892,1,0)),VLOOKUP($A26,'liste reference'!$A$7:$D$892,2,0))</f>
        <v>Hydrurus sp.</v>
      </c>
      <c r="E26" s="465" t="e">
        <f aca="false">IF(D26="",0,VLOOKUP(D26,D$22:D25,1,0))</f>
        <v>#N/A</v>
      </c>
      <c r="F26" s="466" t="n">
        <f aca="false">($B26*$B$7+$C26*$C$7)/100</f>
        <v>3.906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16</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Hydrurus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6183</v>
      </c>
      <c r="Q26" s="455" t="n">
        <f aca="false">IF(ISTEXT(H26),"",(B26*$B$7/100)+(C26*$C$7/100))</f>
        <v>3.906</v>
      </c>
      <c r="R26" s="456" t="n">
        <f aca="false">IF(OR(ISTEXT(H26),Q26=0),"",IF(Q26&lt;0.1,1,IF(Q26&lt;1,2,IF(Q26&lt;10,3,IF(Q26&lt;50,4,IF(Q26&gt;=50,5,""))))))</f>
        <v>3</v>
      </c>
      <c r="S26" s="456" t="n">
        <f aca="false">IF(ISERROR(R26*I26),0,R26*I26)</f>
        <v>48</v>
      </c>
      <c r="T26" s="456" t="n">
        <f aca="false">IF(ISERROR(R26*I26*J26),0,R26*I26*J26)</f>
        <v>96</v>
      </c>
      <c r="U26" s="470" t="n">
        <f aca="false">IF(ISERROR(R26*J26),0,R26*J26)</f>
        <v>6</v>
      </c>
      <c r="V26" s="457" t="n">
        <v>6</v>
      </c>
      <c r="W26" s="458"/>
      <c r="Y26" s="459" t="str">
        <f aca="false">IF(A26="new.cod","NEWCOD",IF(AND((Z26=""),ISTEXT(A26)),A26,IF(Z26="","",INDEX('liste reference'!$A$7:$A$892,Z26))))</f>
        <v>HYUSPX</v>
      </c>
      <c r="Z26" s="250" t="n">
        <f aca="false">IF(ISERROR(MATCH(A26,'liste reference'!$A$7:$A$892,0)),IF(ISERROR(MATCH(A26,'liste reference'!$B$7:$B$892,0)),"",(MATCH(A26,'liste reference'!$B$7:$B$892,0))),(MATCH(A26,'liste reference'!$A$7:$A$892,0)))</f>
        <v>358</v>
      </c>
      <c r="AA26" s="460"/>
      <c r="AB26" s="461"/>
      <c r="AC26" s="461"/>
      <c r="BC26" s="250" t="n">
        <f aca="false">IF(A26="","",1)</f>
        <v>1</v>
      </c>
    </row>
    <row r="27" customFormat="false" ht="12.75" hidden="false" customHeight="false" outlineLevel="0" collapsed="false">
      <c r="A27" s="462" t="s">
        <v>1263</v>
      </c>
      <c r="B27" s="463" t="n">
        <v>2</v>
      </c>
      <c r="C27" s="464"/>
      <c r="D27" s="465" t="str">
        <f aca="false">IF(ISERROR(VLOOKUP($A27,'liste reference'!$A$7:$D$892,2,0)),IF(ISERROR(VLOOKUP($A27,'liste reference'!$B$7:$D$892,1,0)),"",VLOOKUP($A27,'liste reference'!$B$7:$D$892,1,0)),VLOOKUP($A27,'liste reference'!$A$7:$D$892,2,0))</f>
        <v>Lemanea sp.</v>
      </c>
      <c r="E27" s="465" t="e">
        <f aca="false">IF(D27="",0,VLOOKUP(D27,D$22:D26,1,0))</f>
        <v>#N/A</v>
      </c>
      <c r="F27" s="466" t="n">
        <f aca="false">($B27*$B$7+$C27*$C$7)/100</f>
        <v>1.86</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1159</v>
      </c>
      <c r="Q27" s="455" t="n">
        <f aca="false">IF(ISTEXT(H27),"",(B27*$B$7/100)+(C27*$C$7/100))</f>
        <v>1.86</v>
      </c>
      <c r="R27" s="456" t="n">
        <f aca="false">IF(OR(ISTEXT(H27),Q27=0),"",IF(Q27&lt;0.1,1,IF(Q27&lt;1,2,IF(Q27&lt;10,3,IF(Q27&lt;50,4,IF(Q27&gt;=50,5,""))))))</f>
        <v>3</v>
      </c>
      <c r="S27" s="456" t="n">
        <f aca="false">IF(ISERROR(R27*I27),0,R27*I27)</f>
        <v>45</v>
      </c>
      <c r="T27" s="456" t="n">
        <f aca="false">IF(ISERROR(R27*I27*J27),0,R27*I27*J27)</f>
        <v>90</v>
      </c>
      <c r="U27" s="470" t="n">
        <f aca="false">IF(ISERROR(R27*J27),0,R27*J27)</f>
        <v>6</v>
      </c>
      <c r="V27" s="457" t="n">
        <v>6</v>
      </c>
      <c r="W27" s="458"/>
      <c r="Y27" s="459" t="str">
        <f aca="false">IF(A27="new.cod","NEWCOD",IF(AND((Z27=""),ISTEXT(A27)),A27,IF(Z27="","",INDEX('liste reference'!$A$7:$A$892,Z27))))</f>
        <v>LEASPX</v>
      </c>
      <c r="Z27" s="250" t="n">
        <f aca="false">IF(ISERROR(MATCH(A27,'liste reference'!$A$7:$A$892,0)),IF(ISERROR(MATCH(A27,'liste reference'!$B$7:$B$892,0)),"",(MATCH(A27,'liste reference'!$B$7:$B$892,0))),(MATCH(A27,'liste reference'!$A$7:$A$892,0)))</f>
        <v>407</v>
      </c>
      <c r="AA27" s="460"/>
      <c r="AB27" s="461"/>
      <c r="AC27" s="461"/>
      <c r="BC27" s="250" t="n">
        <f aca="false">IF(A27="","",1)</f>
        <v>1</v>
      </c>
    </row>
    <row r="28" customFormat="false" ht="12.75" hidden="false" customHeight="false" outlineLevel="0" collapsed="false">
      <c r="A28" s="462" t="s">
        <v>2304</v>
      </c>
      <c r="B28" s="463" t="n">
        <v>0.2</v>
      </c>
      <c r="C28" s="464" t="n">
        <v>0.005</v>
      </c>
      <c r="D28" s="465" t="str">
        <f aca="false">IF(ISERROR(VLOOKUP($A28,'liste reference'!$A$7:$D$892,2,0)),IF(ISERROR(VLOOKUP($A28,'liste reference'!$B$7:$D$892,1,0)),"",VLOOKUP($A28,'liste reference'!$B$7:$D$892,1,0)),VLOOKUP($A28,'liste reference'!$A$7:$D$892,2,0))</f>
        <v>Schizothrix sp.</v>
      </c>
      <c r="E28" s="465" t="e">
        <f aca="false">IF(D28="",0,VLOOKUP(D28,D$22:D27,1,0))</f>
        <v>#N/A</v>
      </c>
      <c r="F28" s="466" t="n">
        <f aca="false">($B28*$B$7+$C28*$C$7)/100</f>
        <v>0.18635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0</v>
      </c>
      <c r="J28" s="451" t="n">
        <f aca="false">IF(ISNUMBER(H28),IF(ISERROR(VLOOKUP($A28,'liste reference'!$A$7:$P$892,4,0)),IF(ISERROR(VLOOKUP($A28,'liste reference'!$B$7:$P$892,3,0)),"",VLOOKUP($A28,'liste reference'!$B$7:$P$892,3,0)),VLOOKUP($A28,'liste reference'!$A$7:$P$892,4,0)),"")</f>
        <v>0</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Schizothrix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6436</v>
      </c>
      <c r="Q28" s="455" t="n">
        <f aca="false">IF(ISTEXT(H28),"",(B28*$B$7/100)+(C28*$C$7/100))</f>
        <v>0.18635</v>
      </c>
      <c r="R28" s="456" t="n">
        <f aca="false">IF(OR(ISTEXT(H28),Q28=0),"",IF(Q28&lt;0.1,1,IF(Q28&lt;1,2,IF(Q28&lt;10,3,IF(Q28&lt;50,4,IF(Q28&gt;=50,5,""))))))</f>
        <v>2</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SCZSPX</v>
      </c>
      <c r="Z28" s="250" t="n">
        <f aca="false">IF(ISERROR(MATCH(A28,'liste reference'!$A$7:$A$892,0)),IF(ISERROR(MATCH(A28,'liste reference'!$B$7:$B$892,0)),"",(MATCH(A28,'liste reference'!$B$7:$B$892,0))),(MATCH(A28,'liste reference'!$A$7:$A$892,0)))</f>
        <v>780</v>
      </c>
      <c r="AA28" s="460"/>
      <c r="AB28" s="461"/>
      <c r="AC28" s="461"/>
      <c r="BC28" s="250" t="n">
        <f aca="false">IF(A28="","",1)</f>
        <v>1</v>
      </c>
    </row>
    <row r="29" customFormat="false" ht="12.75" hidden="false" customHeight="false" outlineLevel="0" collapsed="false">
      <c r="A29" s="462" t="s">
        <v>2401</v>
      </c>
      <c r="B29" s="463" t="n">
        <v>0.25</v>
      </c>
      <c r="C29" s="464" t="n">
        <v>0.7</v>
      </c>
      <c r="D29" s="465" t="str">
        <f aca="false">IF(ISERROR(VLOOKUP($A29,'liste reference'!$A$7:$D$892,2,0)),IF(ISERROR(VLOOKUP($A29,'liste reference'!$B$7:$D$892,1,0)),"",VLOOKUP($A29,'liste reference'!$B$7:$D$892,1,0)),VLOOKUP($A29,'liste reference'!$A$7:$D$892,2,0))</f>
        <v>Spirogyra sp.</v>
      </c>
      <c r="E29" s="465" t="e">
        <f aca="false">IF(D29="",0,VLOOKUP(D29,D$22:D28,1,0))</f>
        <v>#N/A</v>
      </c>
      <c r="F29" s="466" t="n">
        <f aca="false">($B29*$B$7+$C29*$C$7)/100</f>
        <v>0.2815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10</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Spirogyra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1147</v>
      </c>
      <c r="Q29" s="455" t="n">
        <f aca="false">IF(ISTEXT(H29),"",(B29*$B$7/100)+(C29*$C$7/100))</f>
        <v>0.2815</v>
      </c>
      <c r="R29" s="456" t="n">
        <f aca="false">IF(OR(ISTEXT(H29),Q29=0),"",IF(Q29&lt;0.1,1,IF(Q29&lt;1,2,IF(Q29&lt;10,3,IF(Q29&lt;50,4,IF(Q29&gt;=50,5,""))))))</f>
        <v>2</v>
      </c>
      <c r="S29" s="456" t="n">
        <f aca="false">IF(ISERROR(R29*I29),0,R29*I29)</f>
        <v>20</v>
      </c>
      <c r="T29" s="456" t="n">
        <f aca="false">IF(ISERROR(R29*I29*J29),0,R29*I29*J29)</f>
        <v>20</v>
      </c>
      <c r="U29" s="470" t="n">
        <f aca="false">IF(ISERROR(R29*J29),0,R29*J29)</f>
        <v>2</v>
      </c>
      <c r="V29" s="457" t="n">
        <v>2</v>
      </c>
      <c r="W29" s="458"/>
      <c r="Y29" s="459" t="str">
        <f aca="false">IF(A29="new.cod","NEWCOD",IF(AND((Z29=""),ISTEXT(A29)),A29,IF(Z29="","",INDEX('liste reference'!$A$7:$A$892,Z29))))</f>
        <v>SPISPX</v>
      </c>
      <c r="Z29" s="250" t="n">
        <f aca="false">IF(ISERROR(MATCH(A29,'liste reference'!$A$7:$A$892,0)),IF(ISERROR(MATCH(A29,'liste reference'!$B$7:$B$892,0)),"",(MATCH(A29,'liste reference'!$B$7:$B$892,0))),(MATCH(A29,'liste reference'!$A$7:$A$892,0)))</f>
        <v>815</v>
      </c>
      <c r="AA29" s="460"/>
      <c r="AB29" s="461"/>
      <c r="AC29" s="461"/>
      <c r="BC29" s="250" t="n">
        <f aca="false">IF(A29="","",1)</f>
        <v>1</v>
      </c>
    </row>
    <row r="30" customFormat="false" ht="12.75" hidden="false" customHeight="false" outlineLevel="0" collapsed="false">
      <c r="A30" s="462" t="s">
        <v>1962</v>
      </c>
      <c r="B30" s="463" t="n">
        <v>0.005</v>
      </c>
      <c r="C30" s="464"/>
      <c r="D30" s="465" t="str">
        <f aca="false">IF(ISERROR(VLOOKUP($A30,'liste reference'!$A$7:$D$892,2,0)),IF(ISERROR(VLOOKUP($A30,'liste reference'!$B$7:$D$892,1,0)),"",VLOOKUP($A30,'liste reference'!$B$7:$D$892,1,0)),VLOOKUP($A30,'liste reference'!$A$7:$D$892,2,0))</f>
        <v>Racomitrium aciculare</v>
      </c>
      <c r="E30" s="465" t="e">
        <f aca="false">IF(D30="",0,VLOOKUP(D30,D$22:D29,1,0))</f>
        <v>#N/A</v>
      </c>
      <c r="F30" s="466" t="n">
        <f aca="false">($B30*$B$7+$C30*$C$7)/100</f>
        <v>0.00465</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18</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Racomitrium aciculare</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1323</v>
      </c>
      <c r="Q30" s="455" t="n">
        <f aca="false">IF(ISTEXT(H30),"",(B30*$B$7/100)+(C30*$C$7/100))</f>
        <v>0.00465</v>
      </c>
      <c r="R30" s="456" t="n">
        <f aca="false">IF(OR(ISTEXT(H30),Q30=0),"",IF(Q30&lt;0.1,1,IF(Q30&lt;1,2,IF(Q30&lt;10,3,IF(Q30&lt;50,4,IF(Q30&gt;=50,5,""))))))</f>
        <v>1</v>
      </c>
      <c r="S30" s="456" t="n">
        <f aca="false">IF(ISERROR(R30*I30),0,R30*I30)</f>
        <v>18</v>
      </c>
      <c r="T30" s="456" t="n">
        <f aca="false">IF(ISERROR(R30*I30*J30),0,R30*I30*J30)</f>
        <v>54</v>
      </c>
      <c r="U30" s="470" t="n">
        <f aca="false">IF(ISERROR(R30*J30),0,R30*J30)</f>
        <v>3</v>
      </c>
      <c r="V30" s="457" t="n">
        <v>3</v>
      </c>
      <c r="W30" s="458"/>
      <c r="X30" s="458"/>
      <c r="Y30" s="459" t="str">
        <f aca="false">IF(A30="new.cod","NEWCOD",IF(AND((Z30=""),ISTEXT(A30)),A30,IF(Z30="","",INDEX('liste reference'!$A$7:$A$892,Z30))))</f>
        <v>RACACI</v>
      </c>
      <c r="Z30" s="250" t="n">
        <f aca="false">IF(ISERROR(MATCH(A30,'liste reference'!$A$7:$A$892,0)),IF(ISERROR(MATCH(A30,'liste reference'!$B$7:$B$892,0)),"",(MATCH(A30,'liste reference'!$B$7:$B$892,0))),(MATCH(A30,'liste reference'!$A$7:$A$892,0)))</f>
        <v>660</v>
      </c>
      <c r="AA30" s="460"/>
      <c r="AB30" s="461"/>
      <c r="AC30" s="461"/>
      <c r="BC30" s="250" t="n">
        <f aca="false">IF(A30="","",1)</f>
        <v>1</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IF(D43="",0,VLOOKUP(D43,D$22:D36,1,0))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IF(D44="",0,VLOOKUP(D44,D$22:D36,1,0))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IF(D46="",0,VLOOKUP(D46,D$22:D45,1,0))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IF(D54="",0,VLOOKUP(D54,D$21:D53,1,0))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X54" s="473"/>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4"/>
      <c r="M56" s="474"/>
      <c r="N56" s="474"/>
      <c r="O56" s="454" t="str">
        <f aca="false">IF(AA56="Cf.","Cf.","")</f>
        <v/>
      </c>
      <c r="P56" s="475"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X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t="s">
        <v>2684</v>
      </c>
      <c r="B61" s="463"/>
      <c r="C61" s="464" t="n">
        <v>0.05</v>
      </c>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0.0035</v>
      </c>
      <c r="G61" s="467" t="str">
        <f aca="false">IF(A61="","",IF(ISERROR(VLOOKUP($A61,'liste reference'!$A$7:$P$892,13,0)),IF(ISERROR(VLOOKUP($A61,'liste reference'!$B$7:$P$892,12,0)),"    -",VLOOKUP($A61,'liste reference'!$B$7:$P$892,12,0)),VLOOKUP($A61,'liste reference'!$A$7:$P$892,13,0)))</f>
        <v>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Carex remota</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No</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NEWCOD</v>
      </c>
      <c r="Z61" s="250" t="str">
        <f aca="false">IF(ISERROR(MATCH(A61,'liste reference'!$A$7:$A$892,0)),IF(ISERROR(MATCH(A61,'liste reference'!$B$7:$B$892,0)),"",(MATCH(A61,'liste reference'!$B$7:$B$892,0))),(MATCH(A61,'liste reference'!$A$7:$A$892,0)))</f>
        <v/>
      </c>
      <c r="AA61" s="460"/>
      <c r="AB61" s="461" t="s">
        <v>2685</v>
      </c>
      <c r="AC61" s="461"/>
      <c r="BC61" s="250" t="n">
        <f aca="false">IF(A61="","",1)</f>
        <v>1</v>
      </c>
    </row>
    <row r="62" customFormat="false" ht="12.75" hidden="false" customHeight="false" outlineLevel="0" collapsed="false">
      <c r="A62" s="462" t="s">
        <v>2684</v>
      </c>
      <c r="B62" s="463" t="n">
        <v>0.005</v>
      </c>
      <c r="C62" s="464" t="n">
        <v>0.03</v>
      </c>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0.00675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Carex microcarpa</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GRAVONE</v>
      </c>
      <c r="B84" s="493" t="str">
        <f aca="false">C3</f>
        <v>Bocognano</v>
      </c>
      <c r="C84" s="494" t="n">
        <f aca="false">A4</f>
        <v>41078</v>
      </c>
      <c r="D84" s="495" t="n">
        <f aca="false">IF(ISERROR(SUM($T$23:$T$82)/SUM($U$23:$U$82)),"",SUM($T$23:$T$82)/SUM($U$23:$U$82))</f>
        <v>15.1666666666667</v>
      </c>
      <c r="E84" s="496" t="n">
        <f aca="false">N13</f>
        <v>10</v>
      </c>
      <c r="F84" s="493" t="n">
        <f aca="false">N14</f>
        <v>8</v>
      </c>
      <c r="G84" s="493" t="n">
        <f aca="false">N15</f>
        <v>1</v>
      </c>
      <c r="H84" s="493" t="n">
        <f aca="false">N16</f>
        <v>4</v>
      </c>
      <c r="I84" s="493" t="n">
        <f aca="false">N17</f>
        <v>2</v>
      </c>
      <c r="J84" s="497" t="n">
        <f aca="false">N8</f>
        <v>12.75</v>
      </c>
      <c r="K84" s="495" t="n">
        <f aca="false">N9</f>
        <v>5.87367006223537</v>
      </c>
      <c r="L84" s="496" t="n">
        <f aca="false">N10</f>
        <v>0</v>
      </c>
      <c r="M84" s="496" t="n">
        <f aca="false">N11</f>
        <v>18</v>
      </c>
      <c r="N84" s="495" t="n">
        <f aca="false">O8</f>
        <v>1.875</v>
      </c>
      <c r="O84" s="495" t="n">
        <f aca="false">O9</f>
        <v>0.991031208965115</v>
      </c>
      <c r="P84" s="496" t="n">
        <f aca="false">O10</f>
        <v>0</v>
      </c>
      <c r="Q84" s="496" t="n">
        <f aca="false">O11</f>
        <v>3</v>
      </c>
      <c r="R84" s="496" t="n">
        <f aca="false">F21</f>
        <v>6.33235</v>
      </c>
      <c r="S84" s="496" t="n">
        <f aca="false">K11</f>
        <v>0</v>
      </c>
      <c r="T84" s="496" t="n">
        <f aca="false">K12</f>
        <v>7</v>
      </c>
      <c r="U84" s="496" t="n">
        <f aca="false">K13</f>
        <v>1</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48</v>
      </c>
      <c r="T87" s="250"/>
      <c r="U87" s="250"/>
      <c r="V87" s="250"/>
    </row>
    <row r="88" customFormat="false" ht="12.75" hidden="true" customHeight="false" outlineLevel="0" collapsed="false">
      <c r="P88" s="250"/>
      <c r="Q88" s="250" t="s">
        <v>2690</v>
      </c>
      <c r="R88" s="250"/>
      <c r="S88" s="457" t="n">
        <f aca="false">VLOOKUP((S87),($S$23:$U$82),2,0)</f>
        <v>96</v>
      </c>
      <c r="T88" s="250"/>
      <c r="U88" s="250"/>
      <c r="V88" s="250"/>
    </row>
    <row r="89" customFormat="false" ht="12.75" hidden="false" customHeight="false" outlineLevel="0" collapsed="false">
      <c r="Q89" s="250" t="s">
        <v>2691</v>
      </c>
      <c r="R89" s="250"/>
      <c r="S89" s="457" t="n">
        <f aca="false">VLOOKUP((S87),($S$23:$U$82),3,0)</f>
        <v>6</v>
      </c>
      <c r="T89" s="250"/>
    </row>
    <row r="90" customFormat="false" ht="12.75" hidden="false" customHeight="false" outlineLevel="0" collapsed="false">
      <c r="Q90" s="250" t="s">
        <v>2692</v>
      </c>
      <c r="R90" s="250"/>
      <c r="S90" s="502" t="n">
        <f aca="false">IF(ISERROR(SUM($T$23:$T$82)/SUM($U$23:$U$82)),"",(SUM($T$23:$T$82)-S88)/(SUM($U$23:$U$82)-S89))</f>
        <v>14.8888888888889</v>
      </c>
      <c r="T90" s="250"/>
    </row>
    <row r="91" customFormat="false" ht="12.75" hidden="false" customHeight="false" outlineLevel="0" collapsed="false">
      <c r="Q91" s="456" t="s">
        <v>2693</v>
      </c>
      <c r="R91" s="456"/>
      <c r="S91" s="456" t="str">
        <f aca="false">INDEX('liste reference'!$A$7:$A$892,$T$91)</f>
        <v>HYUSPX</v>
      </c>
      <c r="T91" s="250" t="n">
        <f aca="false">IF(ISERROR(MATCH($S$93,'liste reference'!$A$7:$A$892,0)),MATCH($S$93,'liste reference'!$B$7:$B$892,0),(MATCH($S$93,'liste reference'!$A$7:$A$892,0)))</f>
        <v>358</v>
      </c>
      <c r="U91" s="491"/>
    </row>
    <row r="92" customFormat="false" ht="12.75" hidden="false" customHeight="false" outlineLevel="0" collapsed="false">
      <c r="Q92" s="250" t="s">
        <v>2694</v>
      </c>
      <c r="R92" s="250"/>
      <c r="S92" s="250" t="n">
        <f aca="false">MATCH(S87,$S$23:$S$82,0)</f>
        <v>4</v>
      </c>
      <c r="T92" s="250"/>
    </row>
    <row r="93" customFormat="false" ht="12.75" hidden="false" customHeight="false" outlineLevel="0" collapsed="false">
      <c r="Q93" s="456" t="s">
        <v>2695</v>
      </c>
      <c r="R93" s="250"/>
      <c r="S93" s="456" t="str">
        <f aca="false">INDEX($A$23:$A$82,$S$92)</f>
        <v>HYUSPX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2625</v>
      </c>
      <c r="G20" s="541"/>
      <c r="H20" s="540" t="s">
        <v>2625</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2726</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2013-04-16T14:49:35Z</dcterms:modified>
  <cp:revision>0</cp:revision>
  <dc:subject/>
  <dc:title>Feuille d'aide au calcul de l'IBMR</dc:title>
</cp:coreProperties>
</file>