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izzanese a Sartèn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'Rizzanese a Sartène'!$A$1:$O$82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'Rizzanese a Sartène'!$A$23:$J$84</definedName>
    <definedName function="false" hidden="false" localSheetId="5" name="NOM" vbProcedure="false">'Rizzanese a Sartène'!$H$1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<sst xmlns="http://schemas.openxmlformats.org/spreadsheetml/2006/main" count="7393" uniqueCount="3131">
  <si>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</si>
  <si>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</si>
  <si>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</si>
  <si>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</si>
  <si>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</si>
  <si>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</si>
  <si>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</si>
  <si>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</si>
  <si>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</si>
  <si>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</si>
  <si>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</si>
  <si>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</si>
  <si>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</si>
  <si>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</si>
  <si>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</si>
  <si>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</si>
  <si>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</si>
  <si>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</si>
  <si>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</si>
  <si>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</si>
  <si>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</si>
  <si>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</si>
  <si>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</si>
  <si>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</si>
  <si>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</si>
  <si>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</si>
  <si>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</si>
  <si>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</si>
  <si>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</si>
  <si>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</si>
  <si>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</si>
  <si>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</si>
  <si>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</si>
  <si>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</si>
  <si>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</si>
  <si>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</si>
  <si>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</si>
  <si>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</si>
  <si>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</si>
  <si>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</si>
  <si>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</si>
  <si>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</si>
  <si>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</si>
  <si>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</si>
  <si>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</si>
  <si>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</si>
  <si>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</si>
  <si>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</si>
  <si>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</si>
  <si>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</si>
  <si>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</si>
  <si>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</si>
  <si>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</si>
  <si>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</si>
  <si>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</si>
  <si>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</si>
  <si>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</si>
  <si>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</si>
  <si>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</si>
  <si>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</si>
  <si>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</si>
  <si>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</si>
  <si>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</si>
  <si>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</si>
  <si>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</si>
  <si>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</si>
  <si>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</si>
  <si>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</si>
  <si>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</si>
  <si>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</si>
  <si>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</si>
  <si>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</si>
  <si>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</si>
  <si>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</si>
  <si>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</si>
  <si>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</si>
  <si>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</si>
  <si>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</si>
  <si>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</si>
  <si>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</si>
  <si>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</si>
  <si>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</si>
  <si>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</si>
  <si>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</si>
  <si>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</si>
  <si>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</si>
  <si>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</si>
  <si>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</si>
  <si>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</si>
  <si>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</si>
  <si>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</si>
  <si>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</si>
  <si>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</si>
  <si>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</si>
  <si>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</si>
  <si>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</si>
  <si>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</si>
  <si>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</si>
  <si>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</si>
  <si>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</si>
  <si>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</si>
  <si>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</si>
  <si>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</si>
  <si>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</si>
  <si>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</si>
  <si>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</si>
  <si>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</si>
  <si>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</si>
  <si>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</si>
  <si>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</si>
  <si>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</si>
  <si>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</si>
  <si>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</si>
  <si>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</si>
  <si>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</si>
  <si>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</si>
  <si>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</si>
  <si>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</si>
  <si>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</si>
  <si>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</si>
  <si>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</si>
  <si>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</si>
  <si>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</si>
  <si>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</si>
  <si>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</si>
  <si>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</si>
  <si>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</si>
  <si>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</si>
  <si>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</si>
  <si>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</si>
  <si>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</si>
  <si>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</si>
  <si>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</si>
  <si>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</si>
  <si>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</si>
  <si>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</si>
  <si>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</si>
  <si>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</si>
  <si>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</si>
  <si>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</si>
  <si>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</si>
  <si>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</si>
  <si>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</si>
  <si>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</si>
  <si>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</si>
  <si>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</si>
  <si>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</si>
  <si>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</si>
  <si>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</si>
  <si>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</si>
  <si>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</si>
  <si>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</si>
  <si>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</si>
  <si>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</si>
  <si>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</si>
  <si>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</si>
  <si>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</si>
  <si>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</si>
  <si>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</si>
  <si>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</si>
  <si>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</si>
  <si>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</si>
  <si>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</si>
  <si>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</si>
  <si>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</si>
  <si>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</si>
  <si>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</si>
  <si>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</si>
  <si>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</si>
  <si>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</si>
  <si>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</si>
  <si>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</si>
  <si>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</si>
  <si>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</si>
  <si>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</si>
  <si>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</si>
  <si>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</si>
  <si>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</si>
  <si>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</si>
  <si>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</si>
  <si>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</si>
  <si>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</si>
  <si>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</si>
  <si>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</si>
  <si>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</si>
  <si>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</si>
  <si>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</si>
  <si>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</si>
  <si>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</si>
  <si>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</si>
  <si>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</si>
  <si>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</si>
  <si>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</si>
  <si>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</si>
  <si>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</si>
  <si>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</si>
  <si>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</si>
  <si>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</si>
  <si>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</si>
  <si>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</si>
  <si>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</si>
  <si>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</si>
  <si>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</si>
  <si>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</si>
  <si>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</si>
  <si>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</si>
  <si>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</si>
  <si>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</si>
  <si>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</si>
  <si>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</si>
  <si>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</si>
  <si>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</si>
  <si>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</si>
  <si>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</si>
  <si>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</si>
  <si>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</si>
  <si>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</si>
  <si>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</si>
  <si>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</si>
  <si>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</si>
  <si>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</si>
  <si>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</si>
  <si>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</si>
  <si>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</si>
  <si>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</si>
  <si>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</si>
  <si>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</si>
  <si>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</si>
  <si>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</si>
  <si>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</si>
  <si>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</si>
  <si>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</si>
  <si>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</si>
  <si>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</si>
  <si>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</si>
  <si>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</si>
  <si>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</si>
  <si>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</si>
  <si>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</si>
  <si>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</si>
  <si>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</si>
  <si>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</si>
  <si>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</si>
  <si>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</si>
  <si>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</si>
  <si>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</si>
  <si>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</si>
  <si>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</si>
  <si>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</si>
  <si>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</si>
  <si>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</si>
  <si>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</si>
  <si>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</si>
  <si>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</si>
  <si>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</si>
  <si>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</si>
  <si>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</si>
  <si>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</si>
  <si>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</si>
  <si>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</si>
  <si>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</si>
  <si>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</si>
  <si>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</si>
  <si>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</si>
  <si>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</si>
  <si>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</si>
  <si>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</si>
  <si>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</si>
  <si>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</si>
  <si>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</si>
  <si>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</si>
  <si>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</si>
  <si>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</si>
  <si>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</si>
  <si>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</si>
  <si>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</si>
  <si>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</si>
  <si>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</si>
  <si>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</si>
  <si>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</si>
  <si>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</si>
  <si>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</si>
  <si>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</si>
  <si>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</si>
  <si>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</si>
  <si>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</si>
  <si>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</si>
  <si>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</si>
  <si>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</si>
  <si>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</si>
  <si>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</si>
  <si>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</si>
  <si>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</si>
  <si>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</si>
  <si>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</si>
  <si>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</si>
  <si>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</si>
  <si>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</si>
  <si>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</si>
  <si>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</si>
  <si>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</si>
  <si>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</si>
  <si>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</si>
  <si>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</si>
  <si>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</si>
  <si>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</si>
  <si>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</si>
  <si>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</si>
  <si>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</si>
  <si>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</si>
  <si>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</si>
  <si>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</si>
  <si>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</si>
  <si>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</si>
  <si>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</si>
  <si>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</si>
  <si>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</si>
  <si>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</si>
  <si>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</si>
  <si>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</si>
  <si>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</si>
  <si>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</si>
  <si>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</si>
  <si>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</si>
  <si>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</si>
  <si>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</si>
  <si>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</si>
  <si>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</si>
  <si>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</si>
  <si>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</si>
  <si>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</si>
  <si>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</si>
  <si>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</si>
  <si>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</si>
  <si>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</si>
  <si>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</si>
  <si>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</si>
  <si>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</si>
  <si>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</si>
  <si>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</si>
  <si>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</si>
  <si>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</si>
  <si>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</si>
  <si>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</si>
  <si>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</si>
  <si>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</si>
  <si>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</si>
  <si>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</si>
  <si>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</si>
  <si>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</si>
  <si>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</si>
  <si>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</si>
  <si>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</si>
  <si>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</si>
  <si>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</si>
  <si>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</si>
  <si>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</si>
  <si>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</si>
  <si>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</si>
  <si>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</si>
  <si>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</si>
  <si>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</si>
  <si>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</si>
  <si>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</si>
  <si>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</si>
  <si>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</si>
  <si>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</si>
  <si>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</si>
  <si>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</si>
  <si>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</si>
  <si>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</si>
  <si>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</si>
  <si>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</si>
  <si>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</si>
  <si>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</si>
  <si>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</si>
  <si>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</si>
  <si>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</si>
  <si>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</si>
  <si>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</si>
  <si>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</si>
  <si>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</si>
  <si>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</si>
  <si>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</si>
  <si>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</si>
  <si>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</si>
  <si>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</si>
  <si>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</si>
  <si>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</si>
  <si>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</si>
  <si>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</si>
  <si>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</si>
  <si>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</si>
  <si>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</si>
  <si>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</si>
  <si>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</si>
  <si>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</si>
  <si>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</si>
  <si>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</si>
  <si>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</si>
  <si>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</si>
  <si>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</si>
  <si>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</si>
  <si>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</si>
  <si>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</si>
  <si>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</si>
  <si>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</si>
  <si>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</si>
  <si>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</si>
  <si>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</si>
  <si>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</si>
  <si>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</si>
  <si>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</si>
  <si>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</si>
  <si>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</si>
  <si>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</si>
  <si>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</si>
  <si>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</si>
  <si>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</si>
  <si>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</si>
  <si>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</si>
  <si>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</si>
  <si>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</si>
  <si>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</si>
  <si>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</si>
  <si>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</si>
  <si>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</si>
  <si>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</si>
  <si>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</si>
  <si>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</si>
  <si>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</si>
  <si>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</si>
  <si>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</si>
  <si>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</si>
  <si>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</si>
  <si>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</si>
  <si>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</si>
  <si>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</si>
  <si>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</si>
  <si>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</si>
  <si>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</si>
  <si>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</si>
  <si>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</si>
  <si>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</si>
  <si>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</si>
  <si>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</si>
  <si>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</si>
  <si>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</si>
  <si>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</si>
  <si>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</si>
  <si>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</si>
  <si>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</si>
  <si>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</si>
  <si>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</si>
  <si>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</si>
  <si>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</si>
  <si>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</si>
  <si>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</si>
  <si>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</si>
  <si>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</si>
  <si>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</si>
  <si>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</si>
  <si>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</si>
  <si>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</si>
  <si>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</si>
  <si>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</si>
  <si>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</si>
  <si>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</si>
  <si>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</si>
  <si>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</si>
  <si>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</si>
  <si>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</si>
  <si>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</si>
  <si>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</si>
  <si>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</si>
  <si>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</si>
  <si>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</si>
  <si>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</si>
  <si>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</si>
  <si>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</si>
  <si>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</si>
  <si>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</si>
  <si>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</si>
  <si>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</si>
  <si>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</si>
  <si>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</si>
  <si>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</si>
  <si>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</si>
  <si>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</si>
  <si>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</si>
  <si>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</si>
  <si>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</si>
  <si>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</si>
  <si>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</si>
  <si>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</si>
  <si>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</si>
  <si>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</si>
  <si>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</si>
  <si>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</si>
  <si>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</si>
  <si>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</si>
  <si>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</si>
  <si>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</si>
  <si>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</si>
  <si>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</si>
  <si>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</si>
  <si>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</si>
  <si>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</si>
  <si>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</si>
  <si>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</si>
  <si>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</si>
  <si>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</si>
  <si>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</si>
  <si>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</si>
  <si>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</si>
  <si>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</si>
  <si>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</si>
  <si>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</si>
  <si>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</si>
  <si>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</si>
  <si>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</si>
  <si>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</si>
  <si>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</si>
  <si>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</si>
  <si>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</si>
  <si>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</si>
  <si>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</si>
  <si>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</si>
  <si>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</si>
  <si>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</si>
  <si>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</si>
  <si>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</si>
  <si>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</si>
  <si>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</si>
  <si>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</si>
  <si>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</si>
  <si>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</si>
  <si>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</si>
  <si>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</si>
  <si>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</si>
  <si>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</si>
  <si>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</si>
  <si>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</si>
  <si>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</si>
  <si>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</si>
  <si>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</si>
  <si>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</si>
  <si>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</si>
  <si>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</si>
  <si>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</si>
  <si>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</si>
  <si>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</si>
  <si>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</si>
  <si>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</si>
  <si>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</si>
  <si>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</si>
  <si>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</si>
  <si>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</si>
  <si>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</si>
  <si>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</si>
  <si>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</si>
  <si>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</si>
  <si>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</si>
  <si>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</si>
  <si>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</si>
  <si>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</si>
  <si>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</si>
  <si>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</si>
  <si>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</si>
  <si>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</si>
  <si>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</si>
  <si>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</si>
  <si>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</si>
  <si>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</si>
  <si>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</si>
  <si>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</si>
  <si>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</si>
  <si>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</si>
  <si>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</si>
  <si>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</si>
  <si>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</si>
  <si>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</si>
  <si>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</si>
  <si>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</si>
  <si>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</si>
  <si>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</si>
  <si>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</si>
  <si>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</si>
  <si>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</si>
  <si>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</si>
  <si>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</si>
  <si>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</si>
  <si>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</si>
  <si>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</si>
  <si>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</si>
  <si>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</si>
  <si>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</si>
  <si>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</si>
  <si>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</si>
  <si>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</si>
  <si>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</si>
  <si>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</si>
  <si>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</si>
  <si>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</si>
  <si>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</si>
  <si>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</si>
  <si>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</si>
  <si>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</si>
  <si>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</si>
  <si>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</si>
  <si>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</si>
  <si>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</si>
  <si>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</si>
  <si>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</si>
  <si>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</si>
  <si>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</si>
  <si>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</si>
  <si>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</si>
  <si>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</si>
  <si>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</si>
  <si>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</si>
  <si>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</si>
  <si>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</si>
  <si>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</si>
  <si>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</si>
  <si>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</si>
  <si>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</si>
  <si>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</si>
  <si>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</si>
  <si>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</si>
  <si>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</si>
  <si>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</si>
  <si>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</si>
  <si>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</si>
  <si>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</si>
  <si>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</si>
  <si>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</si>
  <si>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</si>
  <si>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</si>
  <si>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</si>
  <si>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</si>
  <si>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</si>
  <si>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</si>
  <si>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</si>
  <si>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</si>
  <si>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</si>
  <si>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</si>
  <si>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</si>
  <si>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</si>
  <si>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</si>
  <si>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</si>
  <si>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</si>
  <si>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</si>
  <si>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</si>
  <si>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</si>
  <si>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</si>
  <si>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</si>
  <si>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</si>
  <si>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</si>
  <si>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</si>
  <si>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</si>
  <si>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</si>
  <si>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</si>
  <si>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</si>
  <si>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</si>
  <si>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</si>
  <si>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</si>
  <si>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</si>
  <si>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</si>
  <si>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</si>
  <si>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</si>
  <si>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</si>
  <si>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</si>
  <si>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</si>
  <si>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</si>
  <si>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</si>
  <si>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</si>
  <si>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</si>
  <si>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</si>
  <si>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</si>
  <si>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</si>
  <si>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</si>
  <si>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</si>
  <si>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</si>
  <si>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</si>
  <si>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</si>
  <si>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</si>
  <si>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</si>
  <si>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</si>
  <si>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</si>
  <si>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</si>
  <si>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</si>
  <si>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</si>
  <si>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</si>
  <si>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</si>
  <si>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</si>
  <si>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</si>
  <si>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</si>
  <si>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</si>
  <si>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</si>
  <si>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</si>
  <si>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</si>
  <si>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</si>
  <si>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</si>
  <si>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</si>
  <si>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</si>
  <si>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</si>
  <si>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</si>
  <si>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</si>
  <si>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</si>
  <si>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</si>
  <si>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</si>
  <si>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</si>
  <si>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</si>
  <si>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</si>
  <si>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</si>
  <si>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</si>
  <si>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</si>
  <si>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</si>
  <si>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</si>
  <si>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</si>
  <si>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</si>
  <si>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</si>
  <si>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</si>
  <si>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</si>
  <si>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</si>
  <si>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</si>
  <si>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</si>
  <si>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</si>
  <si>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</si>
  <si>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</si>
  <si>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</si>
  <si>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</si>
  <si>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</si>
  <si>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</si>
  <si>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</si>
  <si>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</si>
  <si>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</si>
  <si>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</si>
  <si>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</si>
  <si>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</si>
  <si>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</si>
  <si>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</si>
  <si>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</si>
  <si>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</si>
  <si>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</si>
  <si>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</si>
  <si>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</si>
  <si>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</si>
  <si>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</si>
  <si>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</si>
  <si>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</si>
  <si>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</si>
  <si>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</si>
  <si>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</si>
  <si>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</si>
  <si>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</si>
  <si>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</si>
  <si>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</si>
  <si>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</si>
  <si>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</si>
  <si>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</si>
  <si>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</si>
  <si>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</si>
  <si>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</si>
  <si>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</si>
  <si>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</si>
  <si>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</si>
  <si>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</si>
  <si>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</si>
  <si>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</si>
  <si>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</si>
  <si>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</si>
  <si>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</si>
  <si>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</si>
  <si>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</si>
  <si>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</si>
  <si>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</si>
  <si>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</si>
  <si>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</si>
  <si>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</si>
  <si>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</si>
  <si>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</si>
  <si>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</si>
  <si>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</si>
  <si>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</si>
  <si>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</si>
  <si>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</si>
  <si>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</si>
  <si>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</si>
  <si>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</si>
  <si>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</si>
  <si>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</si>
  <si>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</si>
  <si>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</si>
  <si>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</si>
  <si>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</si>
  <si>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</si>
  <si>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</si>
  <si>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</si>
  <si>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</si>
  <si>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</si>
  <si>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</si>
  <si>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</si>
  <si>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</si>
  <si>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</si>
  <si>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</si>
  <si>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</si>
  <si>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</si>
  <si>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</si>
  <si>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</si>
  <si>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</si>
  <si>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</si>
  <si>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</si>
  <si>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</si>
  <si>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</si>
  <si>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</si>
  <si>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</si>
  <si>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</si>
  <si>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</si>
  <si>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</si>
  <si>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</si>
  <si>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</si>
  <si>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</si>
  <si>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</si>
  <si>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</si>
  <si>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</si>
  <si>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</si>
  <si>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</si>
  <si>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</si>
  <si>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</si>
  <si>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</si>
  <si>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</si>
  <si>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</si>
  <si>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</si>
  <si>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</si>
  <si>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</si>
  <si>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</si>
  <si>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</si>
  <si>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</si>
  <si>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</si>
  <si>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</si>
  <si>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</si>
  <si>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</si>
  <si>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</si>
  <si>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</si>
  <si>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</si>
  <si>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</si>
  <si>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</si>
  <si>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</si>
  <si>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</si>
  <si>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</si>
  <si>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</si>
  <si>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</si>
  <si>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</si>
  <si>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</si>
  <si>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</si>
  <si>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</si>
  <si>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</si>
  <si>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</si>
  <si>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</si>
  <si>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</si>
  <si>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</si>
  <si>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</si>
  <si>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</si>
  <si>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</si>
  <si>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</si>
  <si>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</si>
  <si>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</si>
  <si>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</si>
  <si>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</si>
  <si>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</si>
  <si>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</si>
  <si>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</si>
  <si>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</si>
  <si>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</si>
  <si>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</si>
  <si>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</si>
  <si>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</si>
  <si>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</si>
  <si>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</si>
  <si>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</si>
  <si>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</si>
  <si>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</si>
  <si>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</si>
  <si>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</si>
  <si>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</si>
  <si>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</si>
  <si>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</si>
  <si>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</si>
  <si>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</si>
  <si>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</si>
  <si>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</si>
  <si>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</si>
  <si>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</si>
  <si>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</si>
  <si>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</si>
  <si>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</si>
  <si>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</si>
  <si>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</si>
  <si>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</si>
  <si>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</si>
  <si>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</si>
  <si>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</si>
  <si>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</si>
  <si>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</si>
  <si>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</si>
  <si>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</si>
  <si>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</si>
  <si>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</si>
  <si>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</si>
  <si>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</si>
  <si>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</si>
  <si>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</si>
  <si>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</si>
  <si>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</si>
  <si>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</si>
  <si>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</si>
  <si>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</si>
  <si>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</si>
  <si>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</si>
  <si>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</si>
  <si>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</si>
  <si>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</si>
  <si>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</si>
  <si>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</si>
  <si>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</si>
  <si>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</si>
  <si>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</si>
  <si>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</si>
  <si>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</si>
  <si>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</si>
  <si>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</si>
  <si>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</si>
  <si>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</si>
  <si>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</si>
  <si>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</si>
  <si>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</si>
  <si>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</si>
  <si>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</si>
  <si>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</si>
  <si>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</si>
  <si>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</si>
  <si>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</si>
  <si>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</si>
  <si>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</si>
  <si>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</si>
  <si>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</si>
  <si>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</si>
  <si>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</si>
  <si>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</si>
  <si>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</si>
  <si>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</si>
  <si>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</si>
  <si>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</si>
  <si>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</si>
  <si>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</si>
  <si>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</si>
  <si>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</si>
  <si>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</si>
  <si>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</si>
  <si>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</si>
  <si>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</si>
  <si>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</si>
  <si>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</si>
  <si>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</si>
  <si>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</si>
  <si>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</si>
  <si>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</si>
  <si>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</si>
  <si>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</si>
  <si>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</si>
  <si>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</si>
  <si>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</si>
  <si>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</si>
  <si>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</si>
  <si>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</si>
  <si>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</si>
  <si>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</si>
  <si>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</si>
  <si>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</si>
  <si>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</si>
  <si>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</si>
  <si>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</si>
  <si>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</si>
  <si>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</si>
  <si>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</si>
  <si>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</si>
  <si>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</si>
  <si>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</si>
  <si>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</si>
  <si>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</si>
  <si>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</si>
  <si>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</si>
  <si>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</si>
  <si>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</si>
  <si>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</si>
  <si>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</si>
  <si>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</si>
  <si>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</si>
  <si>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</si>
  <si>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</si>
  <si>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</si>
  <si>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</si>
  <si>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</si>
  <si>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</si>
  <si>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</si>
  <si>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</si>
  <si>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</si>
  <si>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</si>
  <si>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</si>
  <si>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</si>
  <si>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</si>
  <si>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</si>
  <si>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</si>
  <si>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</si>
  <si>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</si>
  <si>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</si>
  <si>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</si>
  <si>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</si>
  <si>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</si>
  <si>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</si>
  <si>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</si>
  <si>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</si>
  <si>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</si>
  <si>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</si>
  <si>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</si>
  <si>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</si>
  <si>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</si>
  <si>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</si>
  <si>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</si>
  <si>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</si>
  <si>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</si>
  <si>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</si>
  <si>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</si>
  <si>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</si>
  <si>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</si>
  <si>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</si>
  <si>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</si>
  <si>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</si>
  <si>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</si>
  <si>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</si>
  <si>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</si>
  <si>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</si>
  <si>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</si>
  <si>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</si>
  <si>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</si>
  <si>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</si>
  <si>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</si>
  <si>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</si>
  <si>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</si>
  <si>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</si>
  <si>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</si>
  <si>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</si>
  <si>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</si>
  <si>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</si>
  <si>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</si>
  <si>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</si>
  <si>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</si>
  <si>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</si>
  <si>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</si>
  <si>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</si>
  <si>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</si>
  <si>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</si>
  <si>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</si>
  <si>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</si>
  <si>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</si>
  <si>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</si>
  <si>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</si>
  <si>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</si>
  <si>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</si>
  <si>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</si>
  <si>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</si>
  <si>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</si>
  <si>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</si>
  <si>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</si>
  <si>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</si>
  <si>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</si>
  <si>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</si>
  <si>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</si>
  <si>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</si>
  <si>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</si>
  <si>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</si>
  <si>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</si>
  <si>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</si>
  <si>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</si>
  <si>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</si>
  <si>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</si>
  <si>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</si>
  <si>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</si>
  <si>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</si>
  <si>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</si>
  <si>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</si>
  <si>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</si>
  <si>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</si>
  <si>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</si>
  <si>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</si>
  <si>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</si>
  <si>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</si>
  <si>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</si>
  <si>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</si>
  <si>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</si>
  <si>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</si>
  <si>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</si>
  <si>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</si>
  <si>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</si>
  <si>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</si>
  <si>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</si>
  <si>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</si>
  <si>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</si>
  <si>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</si>
  <si>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</si>
  <si>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</si>
  <si>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</si>
  <si>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</si>
  <si>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</si>
  <si>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</si>
  <si>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</si>
  <si>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</si>
  <si>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</si>
  <si>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</si>
  <si>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</si>
  <si>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</si>
  <si>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</si>
  <si>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</si>
  <si>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</si>
  <si>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</si>
  <si>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</si>
  <si>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</si>
  <si>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</si>
  <si>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</si>
  <si>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</si>
  <si>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</si>
  <si>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</si>
  <si>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</si>
  <si>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</si>
  <si>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</si>
  <si>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</si>
  <si>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</si>
  <si>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</si>
  <si>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</si>
  <si>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</si>
  <si>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</si>
  <si>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</si>
  <si>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</si>
  <si>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</si>
  <si>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</si>
  <si>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</si>
  <si>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</si>
  <si>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</si>
  <si>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</si>
  <si>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</si>
  <si>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</si>
  <si>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</si>
  <si>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</si>
  <si>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</si>
  <si>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</si>
  <si>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</si>
  <si>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</si>
  <si>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</si>
  <si>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</si>
  <si>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</si>
  <si>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</si>
  <si>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</si>
  <si>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</si>
  <si>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</si>
  <si>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</si>
  <si>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</si>
  <si>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</si>
  <si>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</si>
  <si>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</si>
  <si>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</si>
  <si>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</si>
  <si>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</si>
  <si>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</si>
  <si>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</si>
  <si>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</si>
  <si>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</si>
  <si>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</si>
  <si>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</si>
  <si>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</si>
  <si>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</si>
  <si>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</si>
  <si>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</si>
  <si>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</si>
  <si>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</si>
  <si>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</si>
  <si>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</si>
  <si>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</si>
  <si>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</si>
  <si>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</si>
  <si>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</si>
  <si>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</si>
  <si>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</si>
  <si>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</si>
  <si>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</si>
  <si>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</si>
  <si>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</si>
  <si>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</si>
  <si>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</si>
  <si>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</si>
  <si>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</si>
  <si>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</si>
  <si>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</si>
  <si>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</si>
  <si>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</si>
  <si>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</si>
  <si>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</si>
  <si>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</si>
  <si>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</si>
  <si>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</si>
  <si>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</si>
  <si>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</si>
  <si>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</si>
  <si>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</si>
  <si>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</si>
  <si>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</si>
  <si>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</si>
  <si>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</si>
  <si>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</si>
  <si>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</si>
  <si>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</si>
  <si>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</si>
  <si>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</si>
  <si>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</si>
  <si>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</si>
  <si>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</si>
  <si>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</si>
  <si>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</si>
  <si>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</si>
  <si>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</si>
  <si>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</si>
  <si>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</si>
  <si>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</si>
  <si>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</si>
  <si>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</si>
  <si>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</si>
  <si>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</si>
  <si>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</si>
  <si>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</si>
  <si>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</si>
  <si>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</si>
  <si>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</si>
  <si>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</si>
  <si>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</si>
  <si>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</si>
  <si>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</si>
  <si>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</si>
  <si>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</si>
  <si>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</si>
  <si>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</si>
  <si>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</si>
  <si>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</si>
  <si>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</si>
  <si>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</si>
  <si>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</si>
  <si>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</si>
  <si>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</si>
  <si>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</si>
  <si>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</si>
  <si>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</si>
  <si>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</si>
  <si>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</si>
  <si>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</si>
  <si>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</si>
  <si>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</si>
  <si>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</si>
  <si>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</si>
  <si>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</si>
  <si>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</si>
  <si>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</si>
  <si>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</si>
  <si>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</si>
  <si>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</si>
  <si>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</si>
  <si>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</si>
  <si>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</si>
  <si>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</si>
  <si>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</si>
  <si>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</si>
  <si>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</si>
  <si>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</si>
  <si>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</si>
  <si>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</si>
  <si>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</si>
  <si>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</si>
  <si>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</si>
  <si>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</si>
  <si>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</si>
  <si>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</si>
  <si>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</si>
  <si>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</si>
  <si>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</si>
  <si>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</si>
  <si>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</si>
  <si>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</si>
  <si>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</si>
  <si>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</si>
  <si>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</si>
  <si>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</si>
  <si>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</si>
  <si>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</si>
  <si>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</si>
  <si>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</si>
  <si>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</si>
  <si>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</si>
  <si>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</si>
  <si>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</si>
  <si>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</si>
  <si>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</si>
  <si>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</si>
  <si>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</si>
  <si>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</si>
  <si>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</si>
  <si>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</si>
  <si>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</si>
  <si>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</si>
  <si>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</si>
  <si>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</si>
  <si>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</si>
  <si>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</si>
  <si>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</si>
  <si>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</si>
  <si>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</si>
  <si>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</si>
  <si>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</si>
  <si>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</si>
  <si>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</si>
  <si>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</si>
  <si>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</si>
  <si>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</si>
  <si>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</si>
  <si>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</si>
  <si>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</si>
  <si>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</si>
  <si>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</si>
  <si>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</si>
  <si>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</si>
  <si>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</si>
  <si>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</si>
  <si>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</si>
  <si>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</si>
  <si>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</si>
  <si>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</si>
  <si>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</si>
  <si>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</si>
  <si>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</si>
  <si>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</si>
  <si>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</si>
  <si>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</si>
  <si>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</si>
  <si>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</si>
  <si>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</si>
  <si>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</si>
  <si>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</si>
  <si>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</si>
  <si>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</si>
  <si>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</si>
  <si>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</si>
  <si>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</si>
  <si>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</si>
  <si>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</si>
  <si>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</si>
  <si>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</si>
  <si>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</si>
  <si>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</si>
  <si>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</si>
  <si>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</si>
  <si>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</si>
  <si>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</si>
  <si>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</si>
  <si>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</si>
  <si>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</si>
  <si>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</si>
  <si>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</si>
  <si>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</si>
  <si>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</si>
  <si>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</si>
  <si>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</si>
  <si>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</si>
  <si>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</si>
  <si>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</si>
  <si>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</si>
  <si>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</si>
  <si>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</si>
  <si>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</si>
  <si>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</si>
  <si>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</si>
  <si>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</si>
  <si>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</si>
  <si>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</si>
  <si>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</si>
  <si>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</si>
  <si>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</si>
  <si>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</si>
  <si>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</si>
  <si>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</si>
  <si>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</si>
  <si>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</si>
  <si>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</si>
  <si>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</si>
  <si>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</si>
  <si>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</si>
  <si>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</si>
  <si>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</si>
  <si>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</si>
  <si>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</si>
  <si>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</si>
  <si>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</si>
  <si>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</si>
  <si>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</si>
  <si>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</si>
  <si>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</si>
  <si>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</si>
  <si>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</si>
  <si>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</si>
  <si>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</si>
  <si>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</si>
  <si>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</si>
  <si>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</si>
  <si>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</si>
  <si>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</si>
  <si>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</si>
  <si>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</si>
  <si>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</si>
  <si>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</si>
  <si>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</si>
  <si>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</si>
  <si>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</si>
  <si>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</si>
  <si>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</si>
  <si>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</si>
  <si>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</si>
  <si>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</si>
  <si>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</si>
  <si>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</si>
  <si>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</si>
  <si>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</si>
  <si>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</si>
  <si>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</si>
  <si>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</si>
  <si>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</si>
  <si>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</si>
  <si>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</si>
  <si>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</si>
  <si>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</si>
  <si>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</si>
  <si>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</si>
  <si>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</si>
  <si>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</si>
  <si>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</si>
  <si>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</si>
  <si>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</si>
  <si>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</si>
  <si>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</si>
  <si>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</si>
  <si>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</si>
  <si>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</si>
  <si>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</si>
  <si>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</si>
  <si>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</si>
  <si>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</si>
  <si>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</si>
  <si>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</si>
  <si>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</si>
  <si>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</si>
  <si>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</si>
  <si>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</si>
  <si>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</si>
  <si>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</si>
  <si>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</si>
  <si>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</si>
  <si>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</si>
  <si>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</si>
  <si>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</si>
  <si>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</si>
  <si>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</si>
  <si>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</si>
  <si>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</si>
  <si>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</si>
  <si>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</si>
  <si>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</si>
  <si>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</si>
  <si>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</si>
  <si>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</si>
  <si>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</si>
  <si>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</si>
  <si>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</si>
  <si>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</si>
  <si>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</si>
  <si>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</si>
  <si>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</si>
  <si>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</si>
  <si>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</si>
  <si>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</si>
  <si>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</si>
  <si>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</si>
  <si>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</si>
  <si>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</si>
  <si>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</si>
  <si>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</si>
  <si>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</si>
  <si>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</si>
  <si>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</si>
  <si>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</si>
  <si>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</si>
  <si>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</si>
  <si>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</si>
  <si>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</si>
  <si>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</si>
  <si>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</si>
  <si>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</si>
  <si>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</si>
  <si>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</si>
  <si>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</si>
  <si>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</si>
  <si>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</si>
  <si>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</si>
  <si>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</si>
  <si>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</si>
  <si>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</si>
  <si>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</si>
  <si>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</si>
  <si>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</si>
  <si>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</si>
  <si>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</si>
  <si>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</si>
  <si>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</si>
  <si>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</si>
  <si>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</si>
  <si>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</si>
  <si>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</si>
  <si>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</si>
  <si>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</si>
  <si>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</si>
  <si>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</si>
  <si>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</si>
  <si>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</si>
  <si>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</si>
  <si>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</si>
  <si>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</si>
  <si>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</si>
  <si>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</si>
  <si>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</si>
  <si>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</si>
  <si>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</si>
  <si>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</si>
  <si>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</si>
  <si>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</si>
  <si>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</si>
  <si>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</si>
  <si>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</si>
  <si>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</si>
  <si>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</si>
  <si>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</si>
  <si>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</si>
  <si>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</si>
  <si>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</si>
  <si>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</si>
  <si>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</si>
  <si>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</si>
  <si>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</si>
  <si>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</si>
  <si>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</si>
  <si>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</si>
  <si>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</si>
  <si>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</si>
  <si>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</si>
  <si>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</si>
  <si>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</si>
  <si>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</si>
  <si>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</si>
  <si>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</si>
  <si>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</si>
  <si>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</si>
  <si>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</si>
  <si>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</si>
  <si>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</si>
  <si>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</si>
  <si>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</si>
  <si>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</si>
  <si>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</si>
  <si>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</si>
  <si>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</si>
  <si>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</si>
  <si>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</si>
  <si>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</si>
  <si>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</si>
  <si>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</si>
  <si>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</si>
  <si>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</si>
  <si>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</si>
  <si>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</si>
  <si>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</si>
  <si>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</si>
  <si>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</si>
  <si>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</si>
  <si>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</si>
  <si>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</si>
  <si>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</si>
  <si>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</si>
  <si>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</si>
  <si>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</si>
  <si>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</si>
  <si>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</si>
  <si>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</si>
  <si>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</si>
  <si>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</si>
  <si>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</si>
  <si>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</si>
  <si>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</si>
  <si>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</si>
  <si>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</si>
  <si>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</si>
  <si>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</si>
  <si>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</si>
  <si>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</si>
  <si>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</si>
  <si>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</si>
  <si>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</si>
  <si>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</si>
  <si>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</si>
  <si>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</si>
  <si>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</si>
  <si>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</si>
  <si>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</si>
  <si>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</si>
  <si>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</si>
  <si>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</si>
  <si>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</si>
  <si>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</si>
  <si>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</si>
  <si>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</si>
  <si>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</si>
  <si>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</si>
  <si>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</si>
  <si>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</si>
  <si>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</si>
  <si>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</si>
  <si>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</si>
  <si>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</si>
  <si>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</si>
  <si>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</si>
  <si>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</si>
  <si>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</si>
  <si>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</si>
  <si>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</si>
  <si>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</si>
  <si>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</si>
  <si>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</si>
  <si>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</si>
  <si>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</si>
  <si>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</si>
  <si>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</si>
  <si>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</si>
  <si>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</si>
  <si>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</si>
  <si>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</si>
  <si>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</si>
  <si>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</si>
  <si>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</si>
  <si>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</si>
  <si>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</si>
  <si>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</si>
  <si>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</si>
  <si>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</si>
  <si>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</si>
  <si>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</si>
  <si>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</si>
  <si>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</si>
  <si>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</si>
  <si>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</si>
  <si>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</si>
  <si>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</si>
  <si>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</si>
  <si>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</si>
  <si>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</si>
  <si>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</si>
  <si>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</si>
  <si>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</si>
  <si>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</si>
  <si>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</si>
  <si>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</si>
  <si>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</si>
  <si>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</si>
  <si>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</si>
  <si>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</si>
  <si>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</si>
  <si>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</si>
  <si>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</si>
  <si>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</si>
  <si>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</si>
  <si>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</si>
  <si>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</si>
  <si>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</si>
  <si>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</si>
  <si>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</si>
  <si>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</si>
  <si>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</si>
  <si>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</si>
  <si>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</si>
  <si>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</si>
  <si>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</si>
  <si>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</si>
  <si>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</si>
  <si>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</si>
  <si>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</si>
  <si>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</si>
  <si>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</si>
  <si>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</si>
  <si>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</si>
  <si>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</si>
  <si>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</si>
  <si>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</si>
  <si>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</si>
  <si>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</si>
  <si>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</si>
  <si>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</si>
  <si>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</si>
  <si>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</si>
  <si>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</si>
  <si>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</si>
  <si>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</si>
  <si>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</si>
  <si>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</si>
  <si>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</si>
  <si>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</si>
  <si>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</si>
  <si>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</si>
  <si>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</si>
  <si>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</si>
  <si>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</si>
  <si>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</si>
  <si>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</si>
  <si>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</si>
  <si>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</si>
  <si>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</si>
  <si>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</si>
  <si>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</si>
  <si>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</si>
  <si>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</si>
  <si>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</si>
  <si>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</si>
  <si>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</si>
  <si>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</si>
  <si>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</si>
  <si>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</si>
  <si>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</si>
  <si>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</si>
  <si>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</si>
  <si>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</si>
  <si>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</si>
  <si>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</si>
  <si>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</si>
  <si>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</si>
  <si>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</si>
  <si>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</si>
  <si>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</si>
  <si>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</si>
  <si>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</si>
  <si>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</si>
  <si>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</si>
  <si>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</si>
  <si>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</si>
  <si>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</si>
  <si>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</si>
  <si>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</si>
  <si>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</si>
  <si>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</si>
  <si>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</si>
  <si>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</si>
  <si>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</si>
  <si>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</si>
  <si>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</si>
  <si>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</si>
  <si>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</si>
  <si>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</si>
  <si>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</si>
  <si>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</si>
  <si>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</si>
  <si>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</si>
  <si>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</si>
  <si>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</si>
  <si>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</si>
  <si>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</si>
  <si>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</si>
  <si>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</si>
  <si>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</si>
  <si>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</si>
  <si>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</si>
  <si>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</si>
  <si>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</si>
  <si>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</si>
  <si>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</si>
  <si>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</si>
  <si>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</si>
  <si>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</si>
  <si>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</si>
  <si>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</si>
  <si>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</si>
  <si>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</si>
  <si>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</si>
  <si>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</si>
  <si>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</si>
  <si>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</si>
  <si>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</si>
  <si>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</si>
  <si>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</si>
  <si>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</si>
  <si>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</si>
  <si>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</si>
  <si>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</si>
  <si>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</si>
  <si>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</si>
  <si>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</si>
  <si>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</si>
  <si>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</si>
  <si>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</si>
  <si>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</si>
  <si>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</si>
  <si>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</si>
  <si>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</si>
  <si>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</si>
  <si>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</si>
  <si>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</si>
  <si>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</si>
  <si>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</si>
  <si>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</si>
  <si>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</si>
  <si>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</si>
  <si>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</si>
  <si>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</si>
  <si>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</si>
  <si>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</si>
  <si>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</si>
  <si>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</si>
  <si>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</si>
  <si>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</si>
  <si>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</si>
  <si>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</si>
  <si>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</si>
  <si>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</si>
  <si>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</si>
  <si>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</si>
  <si>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</si>
  <si>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</si>
  <si>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</si>
  <si>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</si>
  <si>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</si>
  <si>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</si>
  <si>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</si>
  <si>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</si>
  <si>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</si>
  <si>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</si>
  <si>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</si>
  <si>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</si>
  <si>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</si>
  <si>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</si>
  <si>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</si>
  <si>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</si>
  <si>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</si>
  <si>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</si>
  <si>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</si>
  <si>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</si>
  <si>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</si>
  <si>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</si>
  <si>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</si>
  <si>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</si>
  <si>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</si>
  <si>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</si>
  <si>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</si>
  <si>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</si>
  <si>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</si>
  <si>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</si>
  <si>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</si>
  <si>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</si>
  <si>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</si>
  <si>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</si>
  <si>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</si>
  <si>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</si>
  <si>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</si>
  <si>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</si>
  <si>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</si>
  <si>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</si>
  <si>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</si>
  <si>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</si>
  <si>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</si>
  <si>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</si>
  <si>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</si>
  <si>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</si>
  <si>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</si>
  <si>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</si>
  <si>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</si>
  <si>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</si>
  <si>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</si>
  <si>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</si>
  <si>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</si>
  <si>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</si>
  <si>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</si>
  <si>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</si>
  <si>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</si>
  <si>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</si>
  <si>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</si>
  <si>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</si>
  <si>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</si>
  <si>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</si>
  <si>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</si>
  <si>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</si>
  <si>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</si>
  <si>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</si>
  <si>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</si>
  <si>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</si>
  <si>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</si>
  <si>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</si>
  <si>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</si>
  <si>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</si>
  <si>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</si>
  <si>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</si>
  <si>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</si>
  <si>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</si>
  <si>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</si>
  <si>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</si>
  <si>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</si>
  <si>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</si>
  <si>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</si>
  <si>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</si>
  <si>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</si>
  <si>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</si>
  <si>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</si>
  <si>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</si>
  <si>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</si>
  <si>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</si>
  <si>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</si>
  <si>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</si>
  <si>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</si>
  <si>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</si>
  <si>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</si>
  <si>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</si>
  <si>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</si>
  <si>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</si>
  <si>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</si>
  <si>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</si>
  <si>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</si>
  <si>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</si>
  <si>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</si>
  <si>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</si>
  <si>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</si>
  <si>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</si>
  <si>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</si>
  <si>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</si>
  <si>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</si>
  <si>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</si>
  <si>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</si>
  <si>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</si>
  <si>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</si>
  <si>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</si>
  <si>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</si>
  <si>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</si>
  <si>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</si>
  <si>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</si>
  <si>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</si>
  <si>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</si>
  <si>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</si>
  <si>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</si>
  <si>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</si>
  <si>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</si>
  <si>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</si>
  <si>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</si>
  <si>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</si>
  <si>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</si>
  <si>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</si>
  <si>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</si>
  <si>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</si>
  <si>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</si>
  <si>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</si>
  <si>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</si>
  <si>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</si>
  <si>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</si>
  <si>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</si>
  <si>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</si>
  <si>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</si>
  <si>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</si>
  <si>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</si>
  <si>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</si>
  <si>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</si>
  <si>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</si>
  <si>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</si>
  <si>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</si>
  <si>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</si>
  <si>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</si>
  <si>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</si>
  <si>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</si>
  <si>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</si>
  <si>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</si>
  <si>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</si>
  <si>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</si>
  <si>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</si>
  <si>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</si>
  <si>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</si>
  <si>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</si>
  <si>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</si>
  <si>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</si>
  <si>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</si>
  <si>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</si>
  <si>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</si>
  <si>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</si>
  <si>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</si>
  <si>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</si>
  <si>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</si>
  <si>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</si>
  <si>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</si>
  <si>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</si>
  <si>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</si>
  <si>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</si>
  <si>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</si>
  <si>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</si>
  <si>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</si>
  <si>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</si>
  <si>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</si>
  <si>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</si>
  <si>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</si>
  <si>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</si>
  <si>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</si>
  <si>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</si>
  <si>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</si>
  <si>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</si>
  <si>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</si>
  <si>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</si>
  <si>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</si>
  <si>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</si>
  <si>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</si>
  <si>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</si>
  <si>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</si>
  <si>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</si>
  <si>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</si>
  <si>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</si>
  <si>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</si>
  <si>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</si>
  <si>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</si>
  <si>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</si>
  <si>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</si>
  <si>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</si>
  <si>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</si>
  <si>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</si>
  <si>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</si>
  <si>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</si>
  <si>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</si>
  <si>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</si>
  <si>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</si>
  <si>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</si>
  <si>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</si>
  <si>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</si>
  <si>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</si>
  <si>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</si>
  <si>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</si>
  <si>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</si>
  <si>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</si>
  <si>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</si>
  <si>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</si>
  <si>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</si>
  <si>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</si>
  <si>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</si>
  <si>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</si>
  <si>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</si>
  <si>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</si>
  <si>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</si>
  <si>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</si>
  <si>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</si>
  <si>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</si>
  <si>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</si>
  <si>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</si>
  <si>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</si>
  <si>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</si>
  <si>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</si>
  <si>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</si>
  <si>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</si>
  <si>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</si>
  <si>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</si>
  <si>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</si>
  <si>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</si>
  <si>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</si>
  <si>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</si>
  <si>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</si>
  <si>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</si>
  <si>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</si>
  <si>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</si>
  <si>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</si>
  <si>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</si>
  <si>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</si>
  <si>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</si>
  <si>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</si>
  <si>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</si>
  <si>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</si>
  <si>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</si>
  <si>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</si>
  <si>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</si>
  <si>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</si>
  <si>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</si>
  <si>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</si>
  <si>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</si>
  <si>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</si>
  <si>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</si>
  <si>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</si>
  <si>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</si>
  <si>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</si>
  <si>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</si>
  <si>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</si>
  <si>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</si>
  <si>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</si>
  <si>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</si>
  <si>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</si>
  <si>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</si>
  <si>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</si>
  <si>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</si>
  <si>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</si>
  <si>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</si>
  <si>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</si>
  <si>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</si>
  <si>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</si>
  <si>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</si>
  <si>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</si>
  <si>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</si>
  <si>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</si>
  <si>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</si>
  <si>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</si>
  <si>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</si>
  <si>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</si>
  <si>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</si>
  <si>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</si>
  <si>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</si>
  <si>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</si>
  <si>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</si>
  <si>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</si>
  <si>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</si>
  <si>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</si>
  <si>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</si>
  <si>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</si>
  <si>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</si>
  <si>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</si>
  <si>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</si>
  <si>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</si>
  <si>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</si>
  <si>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</si>
  <si>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</si>
  <si>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</si>
  <si>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</si>
  <si>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</si>
  <si>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</si>
  <si>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</si>
  <si>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</si>
  <si>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</si>
  <si>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</si>
  <si>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</si>
  <si>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</si>
  <si>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</si>
  <si>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</si>
  <si>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</si>
  <si>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</si>
  <si>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</si>
  <si>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</si>
  <si>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</si>
  <si>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</si>
  <si>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</si>
  <si>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</si>
  <si>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</si>
  <si>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</si>
  <si>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</si>
  <si>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</si>
  <si>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</si>
  <si>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</si>
  <si>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</si>
  <si>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</si>
  <si>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</si>
  <si>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</si>
  <si>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</si>
  <si>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</si>
  <si>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</si>
  <si>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</si>
  <si>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</si>
  <si>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</si>
  <si>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</si>
  <si>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</si>
  <si>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</si>
  <si>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</si>
  <si>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</si>
  <si>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</si>
  <si>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</si>
  <si>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</si>
  <si>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</si>
  <si>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</si>
  <si>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</si>
  <si>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</si>
  <si>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</si>
  <si>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</si>
  <si>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</si>
  <si>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</si>
  <si>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</si>
  <si>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</si>
  <si>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</si>
  <si>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</si>
  <si>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</si>
  <si>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</si>
  <si>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</si>
  <si>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</si>
  <si>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</si>
  <si>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</si>
  <si>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</si>
  <si>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</si>
  <si>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</si>
  <si>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</si>
  <si>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</si>
  <si>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</si>
  <si>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</si>
  <si>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</si>
  <si>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</si>
  <si>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</si>
  <si>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</si>
  <si>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</si>
  <si>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</si>
  <si>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</si>
  <si>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</si>
  <si>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</si>
  <si>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</si>
  <si>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</si>
  <si>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</si>
  <si>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</si>
  <si>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</si>
  <si>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</si>
  <si>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</si>
  <si>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</si>
  <si>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</si>
  <si>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</si>
  <si>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</si>
  <si>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</si>
  <si>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</si>
  <si>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</si>
  <si>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</si>
  <si>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</si>
  <si>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</si>
  <si>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</si>
  <si>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</si>
  <si>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</si>
  <si>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</si>
  <si>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</si>
  <si>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</si>
  <si>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</si>
  <si>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</si>
  <si>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</si>
  <si>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</si>
  <si>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</si>
  <si>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</si>
  <si>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</si>
  <si>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</si>
  <si>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</si>
  <si>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</si>
  <si>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</si>
  <si>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</si>
  <si>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</si>
  <si>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</si>
  <si>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</si>
  <si>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</si>
  <si>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</si>
  <si>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</si>
  <si>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</si>
  <si>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</si>
  <si>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</si>
  <si>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</si>
  <si>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</si>
  <si>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</si>
  <si>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</si>
  <si>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</si>
  <si>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</si>
  <si>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</si>
  <si>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</si>
  <si>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</si>
  <si>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</si>
  <si>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</si>
  <si>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</si>
  <si>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</si>
  <si>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</si>
  <si>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</si>
  <si>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</si>
  <si>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</si>
  <si>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</si>
  <si>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</si>
  <si>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</si>
  <si>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</si>
  <si>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</si>
  <si>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</si>
  <si>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</si>
  <si>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</si>
  <si>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</si>
  <si>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</si>
  <si>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</si>
  <si>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</si>
  <si>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</si>
  <si>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</si>
  <si>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</si>
  <si>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</si>
  <si>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</si>
  <si>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</si>
  <si>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</si>
  <si>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</si>
  <si>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</si>
  <si>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</si>
  <si>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</si>
  <si>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</si>
  <si>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</si>
  <si>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</si>
  <si>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</si>
  <si>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</si>
  <si>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</si>
  <si>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</si>
  <si>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</si>
  <si>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</si>
  <si>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</si>
  <si>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</si>
  <si>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</si>
  <si>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</si>
  <si>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</si>
  <si>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</si>
  <si>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</si>
  <si>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</si>
  <si>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</si>
  <si>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</si>
  <si>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</si>
  <si>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</si>
  <si>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</si>
  <si>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</si>
  <si>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</si>
  <si>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</si>
  <si>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</si>
  <si>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</si>
  <si>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</si>
  <si>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</si>
  <si>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</si>
  <si>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</si>
  <si>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</si>
  <si>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</si>
  <si>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</si>
  <si>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</si>
  <si>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</si>
  <si>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</si>
  <si>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</si>
  <si>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</si>
  <si>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</si>
  <si>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</si>
  <si>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</si>
  <si>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</si>
  <si>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</si>
  <si>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</si>
  <si>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</si>
  <si>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</si>
  <si>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</si>
  <si>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</si>
  <si>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</si>
  <si>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</si>
  <si>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</si>
  <si>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</si>
  <si>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</si>
  <si>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</si>
  <si>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</si>
  <si>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</si>
  <si>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</si>
  <si>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</si>
  <si>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</si>
  <si>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</si>
  <si>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</si>
  <si>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</si>
  <si>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</si>
  <si>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</si>
  <si>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</si>
  <si>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</si>
  <si>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</si>
  <si>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</si>
  <si>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</si>
  <si>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</si>
  <si>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</si>
  <si>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</si>
  <si>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</si>
  <si>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</si>
  <si>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</si>
  <si>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</si>
  <si>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</si>
  <si>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</si>
  <si>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</si>
  <si>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</si>
  <si>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</si>
  <si>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</si>
  <si>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</si>
  <si>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</si>
  <si>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</si>
  <si>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</si>
  <si>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</si>
  <si>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</si>
  <si>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</si>
  <si>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</si>
  <si>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</si>
  <si>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</si>
  <si>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</si>
  <si>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</si>
  <si>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</si>
  <si>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</si>
  <si>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</si>
  <si>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</si>
  <si>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</si>
  <si>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</si>
  <si>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</si>
  <si>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</si>
  <si>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</si>
  <si>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</si>
  <si>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</si>
  <si>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</si>
  <si>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</si>
  <si>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</si>
  <si>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</si>
  <si>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</si>
  <si>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</si>
  <si>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</si>
  <si>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</si>
  <si>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</si>
  <si>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</si>
  <si>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</si>
  <si>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</si>
  <si>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</si>
  <si>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</si>
  <si>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</si>
  <si>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</si>
  <si>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</si>
  <si>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</si>
  <si>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</si>
  <si>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</si>
  <si>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</si>
  <si>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</si>
  <si>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</si>
  <si>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</si>
  <si>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</si>
  <si>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</si>
  <si>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</si>
  <si>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</si>
  <si>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</si>
  <si>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</si>
  <si>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</si>
  <si>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</si>
  <si>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</si>
  <si>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</si>
  <si>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</si>
  <si>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</si>
  <si>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</si>
  <si>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</si>
  <si>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</si>
  <si>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</si>
  <si>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</si>
  <si>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</si>
  <si>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</si>
  <si>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</si>
  <si>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</si>
  <si>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</si>
  <si>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</si>
  <si>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</si>
  <si>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</si>
  <si>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</si>
  <si>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</si>
  <si>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</si>
  <si>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</si>
  <si>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</si>
  <si>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</si>
  <si>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</si>
  <si>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</si>
  <si>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</si>
  <si>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</si>
  <si>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</si>
  <si>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</si>
  <si>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</si>
  <si>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</si>
  <si>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</si>
  <si>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</si>
  <si>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</si>
  <si>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</si>
  <si>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</si>
  <si>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</si>
  <si>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</si>
  <si>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</si>
  <si>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</si>
  <si>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</si>
  <si>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</si>
  <si>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</si>
  <si>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</si>
  <si>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</si>
  <si>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</si>
  <si>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</si>
  <si>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</si>
  <si>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</si>
  <si>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</si>
  <si>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</si>
  <si>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</si>
  <si>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</si>
  <si>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</si>
  <si>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</si>
  <si>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</si>
  <si>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</si>
  <si>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</si>
  <si>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</si>
  <si>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</si>
  <si>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</si>
  <si>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</si>
  <si>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</si>
  <si>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</si>
  <si>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</si>
  <si>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</si>
  <si>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</si>
  <si>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</si>
  <si>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</si>
  <si>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</si>
  <si>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</si>
  <si>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</si>
  <si>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</si>
  <si>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</si>
  <si>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</si>
  <si>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</si>
  <si>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</si>
  <si>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</si>
  <si>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</si>
  <si>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</si>
  <si>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</si>
  <si>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</si>
  <si>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</si>
  <si>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</si>
  <si>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</si>
  <si>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</si>
  <si>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</si>
  <si>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</si>
  <si>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</si>
  <si>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</si>
  <si>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</si>
  <si>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</si>
  <si>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</si>
  <si>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</si>
  <si>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</si>
  <si>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</si>
  <si>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</si>
  <si>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</si>
  <si>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</si>
  <si>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</si>
  <si>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</si>
  <si>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</si>
  <si>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</si>
  <si>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</si>
  <si>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</si>
  <si>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</si>
  <si>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</si>
  <si>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</si>
  <si>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</si>
  <si>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</si>
  <si>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</si>
  <si>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</si>
  <si>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</si>
  <si>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</si>
  <si>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</si>
  <si>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</si>
  <si>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</si>
  <si>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</si>
  <si>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</si>
  <si>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</si>
  <si>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</si>
  <si>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</si>
  <si>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</si>
  <si>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</si>
  <si>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</si>
  <si>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</si>
  <si>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</si>
  <si>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</si>
  <si>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</si>
  <si>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</si>
  <si>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</si>
  <si>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</si>
  <si>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</si>
  <si>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</si>
  <si>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</si>
  <si>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</si>
  <si>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</si>
  <si>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</si>
  <si>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</si>
  <si>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</si>
  <si>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</si>
  <si>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</si>
  <si>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</si>
  <si>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</si>
  <si>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</si>
  <si>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</si>
  <si>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</si>
  <si>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</si>
  <si>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</si>
  <si>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</si>
  <si>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</si>
  <si>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</si>
  <si>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</si>
  <si>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</si>
  <si>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</si>
  <si>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</si>
  <si>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</si>
  <si>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</si>
  <si>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</si>
  <si>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</si>
  <si>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</si>
  <si>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</si>
  <si>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</si>
  <si>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</si>
  <si>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</si>
  <si>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</si>
  <si>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</si>
  <si>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</si>
  <si>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</si>
  <si>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</si>
  <si>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RIZZANESE</t>
  </si>
  <si>
    <t xml:space="preserve">Arbellara (Sartène)</t>
  </si>
  <si>
    <t xml:space="preserve">06218000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</si>
  <si>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</si>
  <si>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</si>
  <si>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</si>
  <si>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</si>
  <si>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</si>
  <si>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</si>
  <si>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</si>
  <si>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</si>
  <si>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</si>
  <si>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</si>
  <si>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</si>
  <si>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</si>
  <si>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</si>
  <si>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</si>
  <si>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</si>
  <si>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</si>
  <si>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</si>
  <si>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</si>
  <si>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</si>
  <si>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</si>
  <si>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</si>
  <si>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</si>
  <si>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</si>
  <si>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</si>
  <si>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</si>
  <si>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</si>
  <si>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</si>
  <si>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</si>
  <si>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</si>
  <si>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</si>
  <si>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</si>
  <si>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</si>
  <si>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</si>
  <si>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</si>
  <si>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</si>
  <si>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</si>
  <si>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</si>
  <si>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</si>
  <si>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</si>
  <si>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</si>
  <si>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</si>
  <si>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</si>
  <si>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</si>
  <si>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</si>
  <si>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</si>
  <si>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</si>
  <si>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</si>
  <si>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</si>
  <si>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</si>
  <si>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(48,176 %)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</si>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</sst>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8" borderId="58" xfId="0" applyFont="true" applyBorder="true" applyAlignment="true" applyProtection="true">
      <alignment horizontal="left" vertical="top" textRotation="0" wrapText="false" indent="0" shrinkToFit="false"/>
      <protection locked="true" hidden="true"/>
    </xf>
    <xf numFmtId="172" fontId="37" fillId="28"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28"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41079</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11.9803921568627</v>
      </c>
      <c r="M5" s="293"/>
      <c r="N5" s="294"/>
      <c r="O5" s="295" t="n">
        <v>12.1489361702128</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44</v>
      </c>
      <c r="C7" s="307" t="n">
        <v>56</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7.96666666666667</v>
      </c>
      <c r="O8" s="323" t="n">
        <f aca="false">AVERAGE(J23:J82)</f>
        <v>1.1</v>
      </c>
      <c r="P8" s="324"/>
      <c r="Q8" s="250"/>
      <c r="R8" s="250"/>
      <c r="S8" s="250"/>
      <c r="T8" s="250"/>
      <c r="U8" s="250"/>
      <c r="V8" s="250"/>
      <c r="W8" s="262"/>
      <c r="X8" s="263"/>
    </row>
    <row r="9" customFormat="false" ht="13.5" hidden="false" customHeight="false" outlineLevel="0" collapsed="false">
      <c r="A9" s="283" t="s">
        <v>2636</v>
      </c>
      <c r="B9" s="325" t="n">
        <v>11.85</v>
      </c>
      <c r="C9" s="326" t="n">
        <v>76.65</v>
      </c>
      <c r="D9" s="327"/>
      <c r="E9" s="327"/>
      <c r="F9" s="328" t="n">
        <f aca="false">($B9*$B$7+$C9*$C$7)/100</f>
        <v>48.138</v>
      </c>
      <c r="G9" s="329"/>
      <c r="H9" s="330"/>
      <c r="I9" s="331"/>
      <c r="J9" s="332"/>
      <c r="K9" s="313"/>
      <c r="L9" s="333"/>
      <c r="M9" s="322" t="s">
        <v>2637</v>
      </c>
      <c r="N9" s="323" t="n">
        <f aca="false">STDEV(I23:I82)</f>
        <v>5.62312548587394</v>
      </c>
      <c r="O9" s="323" t="n">
        <f aca="false">STDEV(J23:J82)</f>
        <v>0.884736469627909</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10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32</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30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14</v>
      </c>
      <c r="L15" s="355"/>
      <c r="M15" s="376" t="s">
        <v>2654</v>
      </c>
      <c r="N15" s="377" t="n">
        <f aca="false">COUNTIF(J23:J82,"=1")</f>
        <v>10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10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11.86</v>
      </c>
      <c r="C20" s="405" t="n">
        <f aca="false">SUM(C23:C82)</f>
        <v>76.71</v>
      </c>
      <c r="D20" s="406"/>
      <c r="E20" s="407" t="s">
        <v>2660</v>
      </c>
      <c r="F20" s="408" t="n">
        <f aca="false">($B20*$B$7+$C20*$C$7)/100</f>
        <v>48.176</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5.2184</v>
      </c>
      <c r="C21" s="418" t="n">
        <f aca="false">C20*C7/100</f>
        <v>42.9576</v>
      </c>
      <c r="D21" s="350" t="str">
        <f aca="false">IF(F21=0,"",IF((ABS(F21-F19))&gt;(0.2*F21),CONCATENATE(" rec. par taxa (",F21," %) supérieur à 20 % !"),""))</f>
        <v> rec. par taxa (48,176 %) supérieur à 20 % !</v>
      </c>
      <c r="E21" s="419" t="str">
        <f aca="false">IF(F21=0,"",IF((ABS(F21-F19))&gt;(0.2*F21),CONCATENATE("ATTENTION : écart entre rec. par grp (",F19," %) ","et",""),""))</f>
        <v>ATTENTION : écart entre rec. par grp (0 %) et</v>
      </c>
      <c r="F21" s="420" t="n">
        <f aca="false">B21+C21</f>
        <v>48.176</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0.0022</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0.0022</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2</v>
      </c>
      <c r="C24" s="464" t="n">
        <v>5.7</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4.072</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4.072</v>
      </c>
      <c r="R24" s="456" t="n">
        <f aca="false">IF(OR(ISTEXT(H24),Q24=0),"",IF(Q24&lt;0.1,1,IF(Q24&lt;1,2,IF(Q24&lt;10,3,IF(Q24&lt;50,4,IF(Q24&gt;=50,5,""))))))</f>
        <v>3</v>
      </c>
      <c r="S24" s="456" t="n">
        <f aca="false">IF(ISERROR(R24*I24),0,R24*I24)</f>
        <v>18</v>
      </c>
      <c r="T24" s="456" t="n">
        <f aca="false">IF(ISERROR(R24*I24*J24),0,R24*I24*J24)</f>
        <v>18</v>
      </c>
      <c r="U24" s="470" t="n">
        <f aca="false">IF(ISERROR(R24*J24),0,R24*J24)</f>
        <v>3</v>
      </c>
      <c r="V24" s="457" t="n">
        <v>3</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675</v>
      </c>
      <c r="B25" s="463" t="n">
        <v>0.5</v>
      </c>
      <c r="C25" s="464" t="n">
        <v>0.005</v>
      </c>
      <c r="D25" s="465" t="str">
        <f aca="false">IF(ISERROR(VLOOKUP($A25,'liste reference'!$A$7:$D$892,2,0)),IF(ISERROR(VLOOKUP($A25,'liste reference'!$B$7:$D$892,1,0)),"",VLOOKUP($A25,'liste reference'!$B$7:$D$892,1,0)),VLOOKUP($A25,'liste reference'!$A$7:$D$892,2,0))</f>
        <v>Diatoma sp.</v>
      </c>
      <c r="E25" s="465" t="e">
        <f aca="false">IF(D25="",0,VLOOKUP(D25,D$22:D24,1,0))</f>
        <v>#N/A</v>
      </c>
      <c r="F25" s="466" t="n">
        <f aca="false">($B25*$B$7+$C25*$C$7)/100</f>
        <v>0.2228</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12</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6627</v>
      </c>
      <c r="Q25" s="455" t="n">
        <f aca="false">IF(ISTEXT(H25),"",(B25*$B$7/100)+(C25*$C$7/100))</f>
        <v>0.2228</v>
      </c>
      <c r="R25" s="456" t="n">
        <f aca="false">IF(OR(ISTEXT(H25),Q25=0),"",IF(Q25&lt;0.1,1,IF(Q25&lt;1,2,IF(Q25&lt;10,3,IF(Q25&lt;50,4,IF(Q25&gt;=50,5,""))))))</f>
        <v>2</v>
      </c>
      <c r="S25" s="456" t="n">
        <f aca="false">IF(ISERROR(R25*I25),0,R25*I25)</f>
        <v>24</v>
      </c>
      <c r="T25" s="456" t="n">
        <f aca="false">IF(ISERROR(R25*I25*J25),0,R25*I25*J25)</f>
        <v>48</v>
      </c>
      <c r="U25" s="470" t="n">
        <f aca="false">IF(ISERROR(R25*J25),0,R25*J25)</f>
        <v>4</v>
      </c>
      <c r="V25" s="457" t="n">
        <v>4</v>
      </c>
      <c r="W25" s="458"/>
      <c r="Y25" s="459" t="str">
        <f aca="false">IF(A25="new.cod","NEWCOD",IF(AND((Z25=""),ISTEXT(A25)),A25,IF(Z25="","",INDEX('liste reference'!$A$7:$A$892,Z25))))</f>
        <v>DIASPX</v>
      </c>
      <c r="Z25" s="250" t="n">
        <f aca="false">IF(ISERROR(MATCH(A25,'liste reference'!$A$7:$A$892,0)),IF(ISERROR(MATCH(A25,'liste reference'!$B$7:$B$892,0)),"",(MATCH(A25,'liste reference'!$B$7:$B$892,0))),(MATCH(A25,'liste reference'!$A$7:$A$892,0)))</f>
        <v>210</v>
      </c>
      <c r="AA25" s="460"/>
      <c r="AB25" s="461"/>
      <c r="AC25" s="461"/>
      <c r="BC25" s="250" t="n">
        <f aca="false">IF(A25="","",1)</f>
        <v>1</v>
      </c>
    </row>
    <row r="26" customFormat="false" ht="12.75" hidden="false" customHeight="false" outlineLevel="0" collapsed="false">
      <c r="A26" s="462" t="s">
        <v>1040</v>
      </c>
      <c r="B26" s="463" t="n">
        <v>0.25</v>
      </c>
      <c r="C26" s="464"/>
      <c r="D26" s="465" t="str">
        <f aca="false">IF(ISERROR(VLOOKUP($A26,'liste reference'!$A$7:$D$892,2,0)),IF(ISERROR(VLOOKUP($A26,'liste reference'!$B$7:$D$892,1,0)),"",VLOOKUP($A26,'liste reference'!$B$7:$D$892,1,0)),VLOOKUP($A26,'liste reference'!$A$7:$D$892,2,0))</f>
        <v>Hildenbrandia sp.</v>
      </c>
      <c r="E26" s="465" t="e">
        <f aca="false">IF(D26="",0,VLOOKUP(D26,D$22:D25,1,0))</f>
        <v>#N/A</v>
      </c>
      <c r="F26" s="466" t="n">
        <f aca="false">($B26*$B$7+$C26*$C$7)/100</f>
        <v>0.11</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Hildenbrandia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1157</v>
      </c>
      <c r="Q26" s="455" t="n">
        <f aca="false">IF(ISTEXT(H26),"",(B26*$B$7/100)+(C26*$C$7/100))</f>
        <v>0.11</v>
      </c>
      <c r="R26" s="456" t="n">
        <f aca="false">IF(OR(ISTEXT(H26),Q26=0),"",IF(Q26&lt;0.1,1,IF(Q26&lt;1,2,IF(Q26&lt;10,3,IF(Q26&lt;50,4,IF(Q26&gt;=50,5,""))))))</f>
        <v>2</v>
      </c>
      <c r="S26" s="456" t="n">
        <f aca="false">IF(ISERROR(R26*I26),0,R26*I26)</f>
        <v>30</v>
      </c>
      <c r="T26" s="456" t="n">
        <f aca="false">IF(ISERROR(R26*I26*J26),0,R26*I26*J26)</f>
        <v>60</v>
      </c>
      <c r="U26" s="470" t="n">
        <f aca="false">IF(ISERROR(R26*J26),0,R26*J26)</f>
        <v>4</v>
      </c>
      <c r="V26" s="457" t="n">
        <v>4</v>
      </c>
      <c r="W26" s="458"/>
      <c r="Y26" s="459" t="str">
        <f aca="false">IF(A26="new.cod","NEWCOD",IF(AND((Z26=""),ISTEXT(A26)),A26,IF(Z26="","",INDEX('liste reference'!$A$7:$A$892,Z26))))</f>
        <v>HILSPX</v>
      </c>
      <c r="Z26" s="250" t="n">
        <f aca="false">IF(ISERROR(MATCH(A26,'liste reference'!$A$7:$A$892,0)),IF(ISERROR(MATCH(A26,'liste reference'!$B$7:$B$892,0)),"",(MATCH(A26,'liste reference'!$B$7:$B$892,0))),(MATCH(A26,'liste reference'!$A$7:$A$892,0)))</f>
        <v>333</v>
      </c>
      <c r="AA26" s="460"/>
      <c r="AB26" s="461"/>
      <c r="AC26" s="461"/>
      <c r="BC26" s="250" t="n">
        <f aca="false">IF(A26="","",1)</f>
        <v>1</v>
      </c>
    </row>
    <row r="27" customFormat="false" ht="12.75" hidden="false" customHeight="false" outlineLevel="0" collapsed="false">
      <c r="A27" s="462" t="s">
        <v>1263</v>
      </c>
      <c r="B27" s="463" t="n">
        <v>0.5</v>
      </c>
      <c r="C27" s="464"/>
      <c r="D27" s="465" t="str">
        <f aca="false">IF(ISERROR(VLOOKUP($A27,'liste reference'!$A$7:$D$892,2,0)),IF(ISERROR(VLOOKUP($A27,'liste reference'!$B$7:$D$892,1,0)),"",VLOOKUP($A27,'liste reference'!$B$7:$D$892,1,0)),VLOOKUP($A27,'liste reference'!$A$7:$D$892,2,0))</f>
        <v>Lemanea sp.</v>
      </c>
      <c r="E27" s="465" t="e">
        <f aca="false">IF(D27="",0,VLOOKUP(D27,D$22:D26,1,0))</f>
        <v>#N/A</v>
      </c>
      <c r="F27" s="466" t="n">
        <f aca="false">($B27*$B$7+$C27*$C$7)/100</f>
        <v>0.22</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Lemanea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1159</v>
      </c>
      <c r="Q27" s="455" t="n">
        <f aca="false">IF(ISTEXT(H27),"",(B27*$B$7/100)+(C27*$C$7/100))</f>
        <v>0.22</v>
      </c>
      <c r="R27" s="456" t="n">
        <f aca="false">IF(OR(ISTEXT(H27),Q27=0),"",IF(Q27&lt;0.1,1,IF(Q27&lt;1,2,IF(Q27&lt;10,3,IF(Q27&lt;50,4,IF(Q27&gt;=50,5,""))))))</f>
        <v>2</v>
      </c>
      <c r="S27" s="456" t="n">
        <f aca="false">IF(ISERROR(R27*I27),0,R27*I27)</f>
        <v>30</v>
      </c>
      <c r="T27" s="456" t="n">
        <f aca="false">IF(ISERROR(R27*I27*J27),0,R27*I27*J27)</f>
        <v>60</v>
      </c>
      <c r="U27" s="470" t="n">
        <f aca="false">IF(ISERROR(R27*J27),0,R27*J27)</f>
        <v>4</v>
      </c>
      <c r="V27" s="457" t="n">
        <v>4</v>
      </c>
      <c r="W27" s="458"/>
      <c r="Y27" s="459" t="str">
        <f aca="false">IF(A27="new.cod","NEWCOD",IF(AND((Z27=""),ISTEXT(A27)),A27,IF(Z27="","",INDEX('liste reference'!$A$7:$A$892,Z27))))</f>
        <v>LEASPX</v>
      </c>
      <c r="Z27" s="250" t="n">
        <f aca="false">IF(ISERROR(MATCH(A27,'liste reference'!$A$7:$A$892,0)),IF(ISERROR(MATCH(A27,'liste reference'!$B$7:$B$892,0)),"",(MATCH(A27,'liste reference'!$B$7:$B$892,0))),(MATCH(A27,'liste reference'!$A$7:$A$892,0)))</f>
        <v>407</v>
      </c>
      <c r="AA27" s="460"/>
      <c r="AB27" s="461"/>
      <c r="AC27" s="461"/>
      <c r="BC27" s="250" t="n">
        <f aca="false">IF(A27="","",1)</f>
        <v>1</v>
      </c>
    </row>
    <row r="28" customFormat="false" ht="12.75" hidden="false" customHeight="false" outlineLevel="0" collapsed="false">
      <c r="A28" s="462" t="s">
        <v>1408</v>
      </c>
      <c r="B28" s="463" t="n">
        <v>2</v>
      </c>
      <c r="C28" s="464" t="n">
        <v>68</v>
      </c>
      <c r="D28" s="465" t="str">
        <f aca="false">IF(ISERROR(VLOOKUP($A28,'liste reference'!$A$7:$D$892,2,0)),IF(ISERROR(VLOOKUP($A28,'liste reference'!$B$7:$D$892,1,0)),"",VLOOKUP($A28,'liste reference'!$B$7:$D$892,1,0)),VLOOKUP($A28,'liste reference'!$A$7:$D$892,2,0))</f>
        <v>Melosira sp.</v>
      </c>
      <c r="E28" s="465" t="e">
        <f aca="false">IF(D28="",0,VLOOKUP(D28,D$22:D27,1,0))</f>
        <v>#N/A</v>
      </c>
      <c r="F28" s="466" t="n">
        <f aca="false">($B28*$B$7+$C28*$C$7)/100</f>
        <v>38.96</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Melosira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8714</v>
      </c>
      <c r="Q28" s="455" t="n">
        <f aca="false">IF(ISTEXT(H28),"",(B28*$B$7/100)+(C28*$C$7/100))</f>
        <v>38.96</v>
      </c>
      <c r="R28" s="456" t="n">
        <f aca="false">IF(OR(ISTEXT(H28),Q28=0),"",IF(Q28&lt;0.1,1,IF(Q28&lt;1,2,IF(Q28&lt;10,3,IF(Q28&lt;50,4,IF(Q28&gt;=50,5,""))))))</f>
        <v>4</v>
      </c>
      <c r="S28" s="456" t="n">
        <f aca="false">IF(ISERROR(R28*I28),0,R28*I28)</f>
        <v>40</v>
      </c>
      <c r="T28" s="456" t="n">
        <f aca="false">IF(ISERROR(R28*I28*J28),0,R28*I28*J28)</f>
        <v>40</v>
      </c>
      <c r="U28" s="470" t="n">
        <f aca="false">IF(ISERROR(R28*J28),0,R28*J28)</f>
        <v>4</v>
      </c>
      <c r="V28" s="457" t="n">
        <v>4</v>
      </c>
      <c r="W28" s="458"/>
      <c r="Y28" s="459" t="str">
        <f aca="false">IF(A28="new.cod","NEWCOD",IF(AND((Z28=""),ISTEXT(A28)),A28,IF(Z28="","",INDEX('liste reference'!$A$7:$A$892,Z28))))</f>
        <v>MELSPX</v>
      </c>
      <c r="Z28" s="250" t="n">
        <f aca="false">IF(ISERROR(MATCH(A28,'liste reference'!$A$7:$A$892,0)),IF(ISERROR(MATCH(A28,'liste reference'!$B$7:$B$892,0)),"",(MATCH(A28,'liste reference'!$B$7:$B$892,0))),(MATCH(A28,'liste reference'!$A$7:$A$892,0)))</f>
        <v>457</v>
      </c>
      <c r="AA28" s="460"/>
      <c r="AB28" s="461"/>
      <c r="AC28" s="461"/>
      <c r="BC28" s="250" t="n">
        <f aca="false">IF(A28="","",1)</f>
        <v>1</v>
      </c>
    </row>
    <row r="29" customFormat="false" ht="12.75" hidden="false" customHeight="false" outlineLevel="0" collapsed="false">
      <c r="A29" s="462" t="s">
        <v>1594</v>
      </c>
      <c r="B29" s="463" t="n">
        <v>0.005</v>
      </c>
      <c r="C29" s="464"/>
      <c r="D29" s="465" t="str">
        <f aca="false">IF(ISERROR(VLOOKUP($A29,'liste reference'!$A$7:$D$892,2,0)),IF(ISERROR(VLOOKUP($A29,'liste reference'!$B$7:$D$892,1,0)),"",VLOOKUP($A29,'liste reference'!$B$7:$D$892,1,0)),VLOOKUP($A29,'liste reference'!$A$7:$D$892,2,0))</f>
        <v>Nostoc sp.</v>
      </c>
      <c r="E29" s="465" t="e">
        <f aca="false">IF(D29="",0,VLOOKUP(D29,D$17:D27,1,0))</f>
        <v>#N/A</v>
      </c>
      <c r="F29" s="466" t="n">
        <f aca="false">($B29*$B$7+$C29*$C$7)/100</f>
        <v>0.0022</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9</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Nostoc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115</v>
      </c>
      <c r="Q29" s="455" t="n">
        <f aca="false">IF(ISTEXT(H29),"",(B29*$B$7/100)+(C29*$C$7/100))</f>
        <v>0.0022</v>
      </c>
      <c r="R29" s="456" t="n">
        <f aca="false">IF(OR(ISTEXT(H29),Q29=0),"",IF(Q29&lt;0.1,1,IF(Q29&lt;1,2,IF(Q29&lt;10,3,IF(Q29&lt;50,4,IF(Q29&gt;=50,5,""))))))</f>
        <v>1</v>
      </c>
      <c r="S29" s="456" t="n">
        <f aca="false">IF(ISERROR(R29*I29),0,R29*I29)</f>
        <v>9</v>
      </c>
      <c r="T29" s="456" t="n">
        <f aca="false">IF(ISERROR(R29*I29*J29),0,R29*I29*J29)</f>
        <v>9</v>
      </c>
      <c r="U29" s="470" t="n">
        <f aca="false">IF(ISERROR(R29*J29),0,R29*J29)</f>
        <v>1</v>
      </c>
      <c r="V29" s="457" t="n">
        <v>1</v>
      </c>
      <c r="W29" s="458"/>
      <c r="Y29" s="459" t="str">
        <f aca="false">IF(A29="new.cod","NEWCOD",IF(AND((Z29=""),ISTEXT(A29)),A29,IF(Z29="","",INDEX('liste reference'!$A$7:$A$892,Z29))))</f>
        <v>NOSSPX</v>
      </c>
      <c r="Z29" s="250" t="n">
        <f aca="false">IF(ISERROR(MATCH(A29,'liste reference'!$A$7:$A$892,0)),IF(ISERROR(MATCH(A29,'liste reference'!$B$7:$B$892,0)),"",(MATCH(A29,'liste reference'!$B$7:$B$892,0))),(MATCH(A29,'liste reference'!$A$7:$A$892,0)))</f>
        <v>526</v>
      </c>
      <c r="AA29" s="460"/>
      <c r="AB29" s="461"/>
      <c r="AC29" s="461"/>
      <c r="BC29" s="250" t="n">
        <f aca="false">IF(A29="","",1)</f>
        <v>1</v>
      </c>
    </row>
    <row r="30" customFormat="false" ht="12.75" hidden="false" customHeight="false" outlineLevel="0" collapsed="false">
      <c r="A30" s="462" t="s">
        <v>2304</v>
      </c>
      <c r="B30" s="463" t="n">
        <v>0.5</v>
      </c>
      <c r="C30" s="464" t="n">
        <v>0.05</v>
      </c>
      <c r="D30" s="465" t="str">
        <f aca="false">IF(ISERROR(VLOOKUP($A30,'liste reference'!$A$7:$D$892,2,0)),IF(ISERROR(VLOOKUP($A30,'liste reference'!$B$7:$D$892,1,0)),"",VLOOKUP($A30,'liste reference'!$B$7:$D$892,1,0)),VLOOKUP($A30,'liste reference'!$A$7:$D$892,2,0))</f>
        <v>Schizothrix sp.</v>
      </c>
      <c r="E30" s="465" t="e">
        <f aca="false">IF(D30="",0,VLOOKUP(D30,D$22:D29,1,0))</f>
        <v>#N/A</v>
      </c>
      <c r="F30" s="466" t="n">
        <f aca="false">($B30*$B$7+$C30*$C$7)/100</f>
        <v>0.248</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Schizothrix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6436</v>
      </c>
      <c r="Q30" s="455" t="n">
        <f aca="false">IF(ISTEXT(H30),"",(B30*$B$7/100)+(C30*$C$7/100))</f>
        <v>0.248</v>
      </c>
      <c r="R30" s="456" t="n">
        <f aca="false">IF(OR(ISTEXT(H30),Q30=0),"",IF(Q30&lt;0.1,1,IF(Q30&lt;1,2,IF(Q30&lt;10,3,IF(Q30&lt;50,4,IF(Q30&gt;=50,5,""))))))</f>
        <v>2</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SCZSPX</v>
      </c>
      <c r="Z30" s="250" t="n">
        <f aca="false">IF(ISERROR(MATCH(A30,'liste reference'!$A$7:$A$892,0)),IF(ISERROR(MATCH(A30,'liste reference'!$B$7:$B$892,0)),"",(MATCH(A30,'liste reference'!$B$7:$B$892,0))),(MATCH(A30,'liste reference'!$A$7:$A$892,0)))</f>
        <v>780</v>
      </c>
      <c r="AA30" s="460"/>
      <c r="AB30" s="461"/>
      <c r="AC30" s="461"/>
      <c r="BC30" s="250" t="n">
        <f aca="false">IF(A30="","",1)</f>
        <v>1</v>
      </c>
    </row>
    <row r="31" customFormat="false" ht="12.75" hidden="false" customHeight="false" outlineLevel="0" collapsed="false">
      <c r="A31" s="462" t="s">
        <v>2401</v>
      </c>
      <c r="B31" s="463" t="n">
        <v>0.01</v>
      </c>
      <c r="C31" s="464"/>
      <c r="D31" s="465" t="str">
        <f aca="false">IF(ISERROR(VLOOKUP($A31,'liste reference'!$A$7:$D$892,2,0)),IF(ISERROR(VLOOKUP($A31,'liste reference'!$B$7:$D$892,1,0)),"",VLOOKUP($A31,'liste reference'!$B$7:$D$892,1,0)),VLOOKUP($A31,'liste reference'!$A$7:$D$892,2,0))</f>
        <v>Spirogyra sp.</v>
      </c>
      <c r="E31" s="465" t="e">
        <f aca="false">IF(D31="",0,VLOOKUP(D31,D$22:D30,1,0))</f>
        <v>#N/A</v>
      </c>
      <c r="F31" s="466" t="n">
        <f aca="false">($B31*$B$7+$C31*$C$7)/100</f>
        <v>0.0044</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Spirogyra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1147</v>
      </c>
      <c r="Q31" s="455" t="n">
        <f aca="false">IF(ISTEXT(H31),"",(B31*$B$7/100)+(C31*$C$7/100))</f>
        <v>0.0044</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58"/>
      <c r="Y31" s="459" t="str">
        <f aca="false">IF(A31="new.cod","NEWCOD",IF(AND((Z31=""),ISTEXT(A31)),A31,IF(Z31="","",INDEX('liste reference'!$A$7:$A$892,Z31))))</f>
        <v>SPISPX</v>
      </c>
      <c r="Z31" s="250" t="n">
        <f aca="false">IF(ISERROR(MATCH(A31,'liste reference'!$A$7:$A$892,0)),IF(ISERROR(MATCH(A31,'liste reference'!$B$7:$B$892,0)),"",(MATCH(A31,'liste reference'!$B$7:$B$892,0))),(MATCH(A31,'liste reference'!$A$7:$A$892,0)))</f>
        <v>815</v>
      </c>
      <c r="AA31" s="460"/>
      <c r="AB31" s="461"/>
      <c r="AC31" s="461"/>
      <c r="BC31" s="250" t="n">
        <f aca="false">IF(A31="","",1)</f>
        <v>1</v>
      </c>
    </row>
    <row r="32" customFormat="false" ht="12.75" hidden="false" customHeight="false" outlineLevel="0" collapsed="false">
      <c r="A32" s="462" t="s">
        <v>2419</v>
      </c>
      <c r="B32" s="463" t="n">
        <v>1.25</v>
      </c>
      <c r="C32" s="464" t="n">
        <v>1.9</v>
      </c>
      <c r="D32" s="465" t="str">
        <f aca="false">IF(ISERROR(VLOOKUP($A32,'liste reference'!$A$7:$D$892,2,0)),IF(ISERROR(VLOOKUP($A32,'liste reference'!$B$7:$D$892,1,0)),"",VLOOKUP($A32,'liste reference'!$B$7:$D$892,1,0)),VLOOKUP($A32,'liste reference'!$A$7:$D$892,2,0))</f>
        <v>Stigeoclonium sp.</v>
      </c>
      <c r="E32" s="465" t="e">
        <f aca="false">IF(D32="",0,VLOOKUP(D32,D$22:D31,1,0))</f>
        <v>#N/A</v>
      </c>
      <c r="F32" s="466" t="n">
        <f aca="false">($B32*$B$7+$C32*$C$7)/100</f>
        <v>1.614</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13</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Stigeoclonium sp.</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1119</v>
      </c>
      <c r="Q32" s="455" t="n">
        <f aca="false">IF(ISTEXT(H32),"",(B32*$B$7/100)+(C32*$C$7/100))</f>
        <v>1.614</v>
      </c>
      <c r="R32" s="456" t="n">
        <f aca="false">IF(OR(ISTEXT(H32),Q32=0),"",IF(Q32&lt;0.1,1,IF(Q32&lt;1,2,IF(Q32&lt;10,3,IF(Q32&lt;50,4,IF(Q32&gt;=50,5,""))))))</f>
        <v>3</v>
      </c>
      <c r="S32" s="456" t="n">
        <f aca="false">IF(ISERROR(R32*I32),0,R32*I32)</f>
        <v>39</v>
      </c>
      <c r="T32" s="456" t="n">
        <f aca="false">IF(ISERROR(R32*I32*J32),0,R32*I32*J32)</f>
        <v>78</v>
      </c>
      <c r="U32" s="470" t="n">
        <f aca="false">IF(ISERROR(R32*J32),0,R32*J32)</f>
        <v>6</v>
      </c>
      <c r="V32" s="457" t="n">
        <v>6</v>
      </c>
      <c r="W32" s="458"/>
      <c r="Y32" s="459" t="str">
        <f aca="false">IF(A32="new.cod","NEWCOD",IF(AND((Z32=""),ISTEXT(A32)),A32,IF(Z32="","",INDEX('liste reference'!$A$7:$A$892,Z32))))</f>
        <v>STISPX</v>
      </c>
      <c r="Z32" s="250" t="n">
        <f aca="false">IF(ISERROR(MATCH(A32,'liste reference'!$A$7:$A$892,0)),IF(ISERROR(MATCH(A32,'liste reference'!$B$7:$B$892,0)),"",(MATCH(A32,'liste reference'!$B$7:$B$892,0))),(MATCH(A32,'liste reference'!$A$7:$A$892,0)))</f>
        <v>823</v>
      </c>
      <c r="AA32" s="460"/>
      <c r="AB32" s="461"/>
      <c r="AC32" s="461"/>
      <c r="BC32" s="250" t="n">
        <f aca="false">IF(A32="","",1)</f>
        <v>1</v>
      </c>
    </row>
    <row r="33" customFormat="false" ht="12.75" hidden="false" customHeight="false" outlineLevel="0" collapsed="false">
      <c r="A33" s="462" t="s">
        <v>539</v>
      </c>
      <c r="B33" s="463" t="n">
        <v>0.005</v>
      </c>
      <c r="C33" s="464"/>
      <c r="D33" s="465" t="str">
        <f aca="false">IF(ISERROR(VLOOKUP($A33,'liste reference'!$A$7:$D$892,2,0)),IF(ISERROR(VLOOKUP($A33,'liste reference'!$B$7:$D$892,1,0)),"",VLOOKUP($A33,'liste reference'!$B$7:$D$892,1,0)),VLOOKUP($A33,'liste reference'!$A$7:$D$892,2,0))</f>
        <v>Chiloscyphus pallescens</v>
      </c>
      <c r="E33" s="465" t="e">
        <f aca="false">IF(D33="",0,VLOOKUP(D33,D$22:D32,1,0))</f>
        <v>#N/A</v>
      </c>
      <c r="F33" s="466" t="n">
        <f aca="false">($B33*$B$7+$C33*$C$7)/100</f>
        <v>0.0022</v>
      </c>
      <c r="G33" s="467" t="str">
        <f aca="false">IF(A33="","",IF(ISERROR(VLOOKUP($A33,'liste reference'!$A$7:$P$892,13,0)),IF(ISERROR(VLOOKUP($A33,'liste reference'!$B$7:$P$892,12,0)),"    -",VLOOKUP($A33,'liste reference'!$B$7:$P$892,12,0)),VLOOKUP($A33,'liste reference'!$A$7:$P$892,13,0)))</f>
        <v>BRh</v>
      </c>
      <c r="H33" s="449" t="n">
        <f aca="false">IF(A33="","x",IF(ISERROR(VLOOKUP($A33,'liste reference'!$A$7:$P$892,14,0)),IF(ISERROR(VLOOKUP($A33,'liste reference'!$B$7:$P$892,13,0)),"x",VLOOKUP($A33,'liste reference'!$B$7:$P$892,13,0)),VLOOKUP($A33,'liste reference'!$A$7:$P$892,14,0)))</f>
        <v>4</v>
      </c>
      <c r="I33" s="468" t="n">
        <f aca="false">IF(ISNUMBER(H33),IF(ISERROR(VLOOKUP($A33,'liste reference'!$A$7:$P$892,3,0)),IF(ISERROR(VLOOKUP($A33,'liste reference'!$B$7:$P$892,2,0)),"",VLOOKUP($A33,'liste reference'!$B$7:$P$892,2,0)),VLOOKUP($A33,'liste reference'!$A$7:$P$892,3,0)),"")</f>
        <v>14</v>
      </c>
      <c r="J33" s="451" t="n">
        <f aca="false">IF(ISNUMBER(H33),IF(ISERROR(VLOOKUP($A33,'liste reference'!$A$7:$P$892,4,0)),IF(ISERROR(VLOOKUP($A33,'liste reference'!$B$7:$P$892,3,0)),"",VLOOKUP($A33,'liste reference'!$B$7:$P$892,3,0)),VLOOKUP($A33,'liste reference'!$A$7:$P$892,4,0)),"")</f>
        <v>2</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Chiloscyphus pallescens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1185</v>
      </c>
      <c r="Q33" s="455" t="n">
        <f aca="false">IF(ISTEXT(H33),"",(B33*$B$7/100)+(C33*$C$7/100))</f>
        <v>0.0022</v>
      </c>
      <c r="R33" s="456" t="n">
        <f aca="false">IF(OR(ISTEXT(H33),Q33=0),"",IF(Q33&lt;0.1,1,IF(Q33&lt;1,2,IF(Q33&lt;10,3,IF(Q33&lt;50,4,IF(Q33&gt;=50,5,""))))))</f>
        <v>1</v>
      </c>
      <c r="S33" s="456" t="n">
        <f aca="false">IF(ISERROR(R33*I33),0,R33*I33)</f>
        <v>14</v>
      </c>
      <c r="T33" s="456" t="n">
        <f aca="false">IF(ISERROR(R33*I33*J33),0,R33*I33*J33)</f>
        <v>28</v>
      </c>
      <c r="U33" s="470" t="n">
        <f aca="false">IF(ISERROR(R33*J33),0,R33*J33)</f>
        <v>2</v>
      </c>
      <c r="V33" s="457" t="n">
        <v>2</v>
      </c>
      <c r="W33" s="458"/>
      <c r="Y33" s="459" t="str">
        <f aca="false">IF(A33="new.cod","NEWCOD",IF(AND((Z33=""),ISTEXT(A33)),A33,IF(Z33="","",INDEX('liste reference'!$A$7:$A$892,Z33))))</f>
        <v>CHIPAL</v>
      </c>
      <c r="Z33" s="250" t="n">
        <f aca="false">IF(ISERROR(MATCH(A33,'liste reference'!$A$7:$A$892,0)),IF(ISERROR(MATCH(A33,'liste reference'!$B$7:$B$892,0)),"",(MATCH(A33,'liste reference'!$B$7:$B$892,0))),(MATCH(A33,'liste reference'!$A$7:$A$892,0)))</f>
        <v>165</v>
      </c>
      <c r="AA33" s="460"/>
      <c r="AB33" s="461"/>
      <c r="AC33" s="461"/>
      <c r="BC33" s="250" t="n">
        <f aca="false">IF(A33="","",1)</f>
        <v>1</v>
      </c>
    </row>
    <row r="34" customFormat="false" ht="12.75" hidden="false" customHeight="false" outlineLevel="0" collapsed="false">
      <c r="A34" s="462" t="s">
        <v>572</v>
      </c>
      <c r="B34" s="463" t="n">
        <v>0.005</v>
      </c>
      <c r="C34" s="464"/>
      <c r="D34" s="465" t="str">
        <f aca="false">IF(ISERROR(VLOOKUP($A34,'liste reference'!$A$7:$D$892,2,0)),IF(ISERROR(VLOOKUP($A34,'liste reference'!$B$7:$D$892,1,0)),"",VLOOKUP($A34,'liste reference'!$B$7:$D$892,1,0)),VLOOKUP($A34,'liste reference'!$A$7:$D$892,2,0))</f>
        <v>Cinclidotus fontinaloides</v>
      </c>
      <c r="E34" s="465" t="e">
        <f aca="false">IF(D34="",0,VLOOKUP(D34,D$22:D33,1,0))</f>
        <v>#N/A</v>
      </c>
      <c r="F34" s="471" t="n">
        <f aca="false">($B34*$B$7+$C34*$C$7)/100</f>
        <v>0.0022</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12</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Cinclidotus fontinaloides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132</v>
      </c>
      <c r="Q34" s="455" t="n">
        <f aca="false">IF(ISTEXT(H34),"",(B34*$B$7/100)+(C34*$C$7/100))</f>
        <v>0.0022</v>
      </c>
      <c r="R34" s="456" t="n">
        <f aca="false">IF(OR(ISTEXT(H34),Q34=0),"",IF(Q34&lt;0.1,1,IF(Q34&lt;1,2,IF(Q34&lt;10,3,IF(Q34&lt;50,4,IF(Q34&gt;=50,5,""))))))</f>
        <v>1</v>
      </c>
      <c r="S34" s="456" t="n">
        <f aca="false">IF(ISERROR(R34*I34),0,R34*I34)</f>
        <v>12</v>
      </c>
      <c r="T34" s="456" t="n">
        <f aca="false">IF(ISERROR(R34*I34*J34),0,R34*I34*J34)</f>
        <v>24</v>
      </c>
      <c r="U34" s="470" t="n">
        <f aca="false">IF(ISERROR(R34*J34),0,R34*J34)</f>
        <v>2</v>
      </c>
      <c r="V34" s="457" t="n">
        <v>2</v>
      </c>
      <c r="W34" s="458"/>
      <c r="Y34" s="459" t="str">
        <f aca="false">IF(A34="new.cod","NEWCOD",IF(AND((Z34=""),ISTEXT(A34)),A34,IF(Z34="","",INDEX('liste reference'!$A$7:$A$892,Z34))))</f>
        <v>CINFON</v>
      </c>
      <c r="Z34" s="250" t="n">
        <f aca="false">IF(ISERROR(MATCH(A34,'liste reference'!$A$7:$A$892,0)),IF(ISERROR(MATCH(A34,'liste reference'!$B$7:$B$892,0)),"",(MATCH(A34,'liste reference'!$B$7:$B$892,0))),(MATCH(A34,'liste reference'!$A$7:$A$892,0)))</f>
        <v>175</v>
      </c>
      <c r="AA34" s="460"/>
      <c r="AB34" s="461"/>
      <c r="AC34" s="461"/>
      <c r="BC34" s="250" t="n">
        <f aca="false">IF(A34="","",1)</f>
        <v>1</v>
      </c>
    </row>
    <row r="35" customFormat="false" ht="12.75" hidden="false" customHeight="false" outlineLevel="0" collapsed="false">
      <c r="A35" s="462" t="s">
        <v>967</v>
      </c>
      <c r="B35" s="463" t="n">
        <v>0.2</v>
      </c>
      <c r="C35" s="464" t="n">
        <v>0.05</v>
      </c>
      <c r="D35" s="465" t="str">
        <f aca="false">IF(ISERROR(VLOOKUP($A35,'liste reference'!$A$7:$D$892,2,0)),IF(ISERROR(VLOOKUP($A35,'liste reference'!$B$7:$D$892,1,0)),"",VLOOKUP($A35,'liste reference'!$B$7:$D$892,1,0)),VLOOKUP($A35,'liste reference'!$A$7:$D$892,2,0))</f>
        <v>Fontinalis hypnoides var. duriaei</v>
      </c>
      <c r="E35" s="465" t="e">
        <f aca="false">IF(D35="",0,VLOOKUP(D35,D$22:D34,1,0))</f>
        <v>#N/A</v>
      </c>
      <c r="F35" s="471" t="n">
        <f aca="false">($B35*$B$7+$C35*$C$7)/100</f>
        <v>0.116</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14</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Fontinalis hypnoides var. duriaei</v>
      </c>
      <c r="L35" s="469"/>
      <c r="M35" s="469"/>
      <c r="N35" s="469"/>
      <c r="O35" s="454" t="str">
        <f aca="false">IF(AA35="Cf.","Cf.","")</f>
        <v>Cf.</v>
      </c>
      <c r="P35" s="454" t="n">
        <f aca="false">IF($A35="NEWCOD",IF($AC35="","No",$AC35),IF(ISTEXT($E35),"DEJA SAISI !",IF($A35="","",IF(ISERROR(VLOOKUP($A35,'liste reference'!A:S,19,FALSE())),IF(ISERROR(VLOOKUP($A35,'liste reference'!B:S,19,FALSE())),"",VLOOKUP($A35,'liste reference'!B:S,19,FALSE())),VLOOKUP($A35,'liste reference'!A:S,19,FALSE())))))</f>
        <v>1215</v>
      </c>
      <c r="Q35" s="455" t="n">
        <f aca="false">IF(ISTEXT(H35),"",(B35*$B$7/100)+(C35*$C$7/100))</f>
        <v>0.116</v>
      </c>
      <c r="R35" s="456" t="n">
        <f aca="false">IF(OR(ISTEXT(H35),Q35=0),"",IF(Q35&lt;0.1,1,IF(Q35&lt;1,2,IF(Q35&lt;10,3,IF(Q35&lt;50,4,IF(Q35&gt;=50,5,""))))))</f>
        <v>2</v>
      </c>
      <c r="S35" s="456" t="n">
        <f aca="false">IF(ISERROR(R35*I35),0,R35*I35)</f>
        <v>28</v>
      </c>
      <c r="T35" s="456" t="n">
        <f aca="false">IF(ISERROR(R35*I35*J35),0,R35*I35*J35)</f>
        <v>84</v>
      </c>
      <c r="U35" s="470" t="n">
        <f aca="false">IF(ISERROR(R35*J35),0,R35*J35)</f>
        <v>6</v>
      </c>
      <c r="V35" s="457" t="n">
        <v>6</v>
      </c>
      <c r="W35" s="458"/>
      <c r="Y35" s="459" t="str">
        <f aca="false">IF(A35="new.cod","NEWCOD",IF(AND((Z35=""),ISTEXT(A35)),A35,IF(Z35="","",INDEX('liste reference'!$A$7:$A$892,Z35))))</f>
        <v>FONDUR</v>
      </c>
      <c r="Z35" s="250" t="n">
        <f aca="false">IF(ISERROR(MATCH(A35,'liste reference'!$A$7:$A$892,0)),IF(ISERROR(MATCH(A35,'liste reference'!$B$7:$B$892,0)),"",(MATCH(A35,'liste reference'!$B$7:$B$892,0))),(MATCH(A35,'liste reference'!$A$7:$A$892,0)))</f>
        <v>305</v>
      </c>
      <c r="AA35" s="460" t="s">
        <v>2684</v>
      </c>
      <c r="AB35" s="461"/>
      <c r="AC35" s="461"/>
      <c r="BC35" s="250" t="n">
        <f aca="false">IF(A35="","",1)</f>
        <v>1</v>
      </c>
    </row>
    <row r="36" customFormat="false" ht="12.75" hidden="false" customHeight="false" outlineLevel="0" collapsed="false">
      <c r="A36" s="462" t="s">
        <v>2077</v>
      </c>
      <c r="B36" s="463" t="n">
        <v>0.1</v>
      </c>
      <c r="C36" s="464"/>
      <c r="D36" s="465" t="str">
        <f aca="false">IF(ISERROR(VLOOKUP($A36,'liste reference'!$A$7:$D$892,2,0)),IF(ISERROR(VLOOKUP($A36,'liste reference'!$B$7:$D$892,1,0)),"",VLOOKUP($A36,'liste reference'!$B$7:$D$892,1,0)),VLOOKUP($A36,'liste reference'!$A$7:$D$892,2,0))</f>
        <v>Rhynchostegium riparioides</v>
      </c>
      <c r="E36" s="465" t="e">
        <f aca="false">IF(D36="",0,VLOOKUP(D36,D$22:D35,1,0))</f>
        <v>#N/A</v>
      </c>
      <c r="F36" s="471" t="n">
        <f aca="false">($B36*$B$7+$C36*$C$7)/100</f>
        <v>0.044</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Rhynchostegium riparioides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1268</v>
      </c>
      <c r="Q36" s="455" t="n">
        <f aca="false">IF(ISTEXT(H36),"",(B36*$B$7/100)+(C36*$C$7/100))</f>
        <v>0.044</v>
      </c>
      <c r="R36" s="456" t="n">
        <f aca="false">IF(OR(ISTEXT(H36),Q36=0),"",IF(Q36&lt;0.1,1,IF(Q36&lt;1,2,IF(Q36&lt;10,3,IF(Q36&lt;50,4,IF(Q36&gt;=50,5,""))))))</f>
        <v>1</v>
      </c>
      <c r="S36" s="456" t="n">
        <f aca="false">IF(ISERROR(R36*I36),0,R36*I36)</f>
        <v>12</v>
      </c>
      <c r="T36" s="456" t="n">
        <f aca="false">IF(ISERROR(R36*I36*J36),0,R36*I36*J36)</f>
        <v>12</v>
      </c>
      <c r="U36" s="470" t="n">
        <f aca="false">IF(ISERROR(R36*J36),0,R36*J36)</f>
        <v>1</v>
      </c>
      <c r="V36" s="457" t="n">
        <v>1</v>
      </c>
      <c r="W36" s="458"/>
      <c r="Y36" s="459" t="str">
        <f aca="false">IF(A36="new.cod","NEWCOD",IF(AND((Z36=""),ISTEXT(A36)),A36,IF(Z36="","",INDEX('liste reference'!$A$7:$A$892,Z36))))</f>
        <v>RHYRIP</v>
      </c>
      <c r="Z36" s="250" t="n">
        <f aca="false">IF(ISERROR(MATCH(A36,'liste reference'!$A$7:$A$892,0)),IF(ISERROR(MATCH(A36,'liste reference'!$B$7:$B$892,0)),"",(MATCH(A36,'liste reference'!$B$7:$B$892,0))),(MATCH(A36,'liste reference'!$A$7:$A$892,0)))</f>
        <v>705</v>
      </c>
      <c r="AA36" s="460"/>
      <c r="AB36" s="461"/>
      <c r="AC36" s="461"/>
      <c r="BC36" s="250" t="n">
        <f aca="false">IF(A36="","",1)</f>
        <v>1</v>
      </c>
    </row>
    <row r="37" customFormat="false" ht="12.75" hidden="false" customHeight="false" outlineLevel="0" collapsed="false">
      <c r="A37" s="462" t="s">
        <v>839</v>
      </c>
      <c r="B37" s="463" t="n">
        <v>0.1</v>
      </c>
      <c r="C37" s="464" t="n">
        <v>0.005</v>
      </c>
      <c r="D37" s="465" t="str">
        <f aca="false">IF(ISERROR(VLOOKUP($A37,'liste reference'!$A$7:$D$892,2,0)),IF(ISERROR(VLOOKUP($A37,'liste reference'!$B$7:$D$892,1,0)),"",VLOOKUP($A37,'liste reference'!$B$7:$D$892,1,0)),VLOOKUP($A37,'liste reference'!$A$7:$D$892,2,0))</f>
        <v>Equisetum arvense</v>
      </c>
      <c r="E37" s="465" t="e">
        <f aca="false">IF(D37="",0,VLOOKUP(D37,D$22:D36,1,0))</f>
        <v>#N/A</v>
      </c>
      <c r="F37" s="471" t="n">
        <f aca="false">($B37*$B$7+$C37*$C$7)/100</f>
        <v>0.0468</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Equisetum arvense</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1384</v>
      </c>
      <c r="Q37" s="455" t="n">
        <f aca="false">IF(ISTEXT(H37),"",(B37*$B$7/100)+(C37*$C$7/100))</f>
        <v>0.0468</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EQUARV</v>
      </c>
      <c r="Z37" s="250" t="n">
        <f aca="false">IF(ISERROR(MATCH(A37,'liste reference'!$A$7:$A$892,0)),IF(ISERROR(MATCH(A37,'liste reference'!$B$7:$B$892,0)),"",(MATCH(A37,'liste reference'!$B$7:$B$892,0))),(MATCH(A37,'liste reference'!$A$7:$A$892,0)))</f>
        <v>266</v>
      </c>
      <c r="AA37" s="460"/>
      <c r="AB37" s="461"/>
      <c r="AC37" s="461"/>
      <c r="BC37" s="250" t="n">
        <f aca="false">IF(A37="","",1)</f>
        <v>1</v>
      </c>
    </row>
    <row r="38" customFormat="false" ht="12.75" hidden="false" customHeight="false" outlineLevel="0" collapsed="false">
      <c r="A38" s="462" t="s">
        <v>1657</v>
      </c>
      <c r="B38" s="463" t="n">
        <v>0.25</v>
      </c>
      <c r="C38" s="464" t="n">
        <v>0.2</v>
      </c>
      <c r="D38" s="465" t="str">
        <f aca="false">IF(ISERROR(VLOOKUP($A38,'liste reference'!$A$7:$D$892,2,0)),IF(ISERROR(VLOOKUP($A38,'liste reference'!$B$7:$D$892,1,0)),"",VLOOKUP($A38,'liste reference'!$B$7:$D$892,1,0)),VLOOKUP($A38,'liste reference'!$A$7:$D$892,2,0))</f>
        <v>Osmunda regalis</v>
      </c>
      <c r="E38" s="465" t="e">
        <f aca="false">IF(D38="",0,VLOOKUP(D38,D$22:D37,1,0))</f>
        <v>#N/A</v>
      </c>
      <c r="F38" s="471" t="n">
        <f aca="false">($B38*$B$7+$C38*$C$7)/100</f>
        <v>0.222</v>
      </c>
      <c r="G38" s="467" t="str">
        <f aca="false">IF(A38="","",IF(ISERROR(VLOOKUP($A38,'liste reference'!$A$7:$P$892,13,0)),IF(ISERROR(VLOOKUP($A38,'liste reference'!$B$7:$P$892,12,0)),"    -",VLOOKUP($A38,'liste reference'!$B$7:$P$892,12,0)),VLOOKUP($A38,'liste reference'!$A$7:$P$892,13,0)))</f>
        <v>PTE</v>
      </c>
      <c r="H38" s="449" t="n">
        <f aca="false">IF(A38="","x",IF(ISERROR(VLOOKUP($A38,'liste reference'!$A$7:$P$892,14,0)),IF(ISERROR(VLOOKUP($A38,'liste reference'!$B$7:$P$892,13,0)),"x",VLOOKUP($A38,'liste reference'!$B$7:$P$892,13,0)),VLOOKUP($A38,'liste reference'!$A$7:$P$892,14,0)))</f>
        <v>6</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Osmunda regalis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143</v>
      </c>
      <c r="Q38" s="455" t="n">
        <f aca="false">IF(ISTEXT(H38),"",(B38*$B$7/100)+(C38*$C$7/100))</f>
        <v>0.222</v>
      </c>
      <c r="R38" s="456" t="n">
        <f aca="false">IF(OR(ISTEXT(H38),Q38=0),"",IF(Q38&lt;0.1,1,IF(Q38&lt;1,2,IF(Q38&lt;10,3,IF(Q38&lt;50,4,IF(Q38&gt;=50,5,""))))))</f>
        <v>2</v>
      </c>
      <c r="S38" s="456" t="n">
        <f aca="false">IF(ISERROR(R38*I38),0,R38*I38)</f>
        <v>0</v>
      </c>
      <c r="T38" s="456" t="n">
        <f aca="false">IF(ISERROR(R38*I38*J38),0,R38*I38*J38)</f>
        <v>0</v>
      </c>
      <c r="U38" s="470" t="n">
        <f aca="false">IF(ISERROR(R38*J38),0,R38*J38)</f>
        <v>0</v>
      </c>
      <c r="V38" s="457" t="n">
        <v>0</v>
      </c>
      <c r="W38" s="472"/>
      <c r="Y38" s="459" t="str">
        <f aca="false">IF(A38="new.cod","NEWCOD",IF(AND((Z38=""),ISTEXT(A38)),A38,IF(Z38="","",INDEX('liste reference'!$A$7:$A$892,Z38))))</f>
        <v>OSMREG</v>
      </c>
      <c r="Z38" s="250" t="n">
        <f aca="false">IF(ISERROR(MATCH(A38,'liste reference'!$A$7:$A$892,0)),IF(ISERROR(MATCH(A38,'liste reference'!$B$7:$B$892,0)),"",(MATCH(A38,'liste reference'!$B$7:$B$892,0))),(MATCH(A38,'liste reference'!$A$7:$A$892,0)))</f>
        <v>552</v>
      </c>
      <c r="AA38" s="460"/>
      <c r="AB38" s="461"/>
      <c r="AC38" s="461"/>
      <c r="BC38" s="250" t="n">
        <f aca="false">IF(A38="","",1)</f>
        <v>1</v>
      </c>
    </row>
    <row r="39" customFormat="false" ht="12.75" hidden="false" customHeight="false" outlineLevel="0" collapsed="false">
      <c r="A39" s="462" t="s">
        <v>160</v>
      </c>
      <c r="B39" s="463"/>
      <c r="C39" s="464" t="n">
        <v>0.005</v>
      </c>
      <c r="D39" s="465" t="str">
        <f aca="false">IF(ISERROR(VLOOKUP($A39,'liste reference'!$A$7:$D$892,2,0)),IF(ISERROR(VLOOKUP($A39,'liste reference'!$B$7:$D$892,1,0)),"",VLOOKUP($A39,'liste reference'!$B$7:$D$892,1,0)),VLOOKUP($A39,'liste reference'!$A$7:$D$892,2,0))</f>
        <v>Apium nodiflorum</v>
      </c>
      <c r="E39" s="465" t="e">
        <f aca="false">IF(D39="",0,VLOOKUP(D39,D$22:D38,1,0))</f>
        <v>#N/A</v>
      </c>
      <c r="F39" s="471" t="n">
        <f aca="false">($B39*$B$7+$C39*$C$7)/100</f>
        <v>0.0028</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10</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Apium nodiflorum</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1974</v>
      </c>
      <c r="Q39" s="455" t="n">
        <f aca="false">IF(ISTEXT(H39),"",(B39*$B$7/100)+(C39*$C$7/100))</f>
        <v>0.0028</v>
      </c>
      <c r="R39" s="456" t="n">
        <f aca="false">IF(OR(ISTEXT(H39),Q39=0),"",IF(Q39&lt;0.1,1,IF(Q39&lt;1,2,IF(Q39&lt;10,3,IF(Q39&lt;50,4,IF(Q39&gt;=50,5,""))))))</f>
        <v>1</v>
      </c>
      <c r="S39" s="456" t="n">
        <f aca="false">IF(ISERROR(R39*I39),0,R39*I39)</f>
        <v>10</v>
      </c>
      <c r="T39" s="456" t="n">
        <f aca="false">IF(ISERROR(R39*I39*J39),0,R39*I39*J39)</f>
        <v>10</v>
      </c>
      <c r="U39" s="470" t="n">
        <f aca="false">IF(ISERROR(R39*J39),0,R39*J39)</f>
        <v>1</v>
      </c>
      <c r="V39" s="457" t="n">
        <v>1</v>
      </c>
      <c r="W39" s="458"/>
      <c r="Y39" s="459" t="str">
        <f aca="false">IF(A39="new.cod","NEWCOD",IF(AND((Z39=""),ISTEXT(A39)),A39,IF(Z39="","",INDEX('liste reference'!$A$7:$A$892,Z39))))</f>
        <v>APINOD</v>
      </c>
      <c r="Z39" s="250" t="n">
        <f aca="false">IF(ISERROR(MATCH(A39,'liste reference'!$A$7:$A$892,0)),IF(ISERROR(MATCH(A39,'liste reference'!$B$7:$B$892,0)),"",(MATCH(A39,'liste reference'!$B$7:$B$892,0))),(MATCH(A39,'liste reference'!$A$7:$A$892,0)))</f>
        <v>34</v>
      </c>
      <c r="AA39" s="460"/>
      <c r="AB39" s="461"/>
      <c r="AC39" s="461"/>
      <c r="BC39" s="250" t="n">
        <f aca="false">IF(A39="","",1)</f>
        <v>1</v>
      </c>
    </row>
    <row r="40" customFormat="false" ht="12.75" hidden="false" customHeight="false" outlineLevel="0" collapsed="false">
      <c r="A40" s="462" t="s">
        <v>1840</v>
      </c>
      <c r="B40" s="463"/>
      <c r="C40" s="464" t="n">
        <v>0.05</v>
      </c>
      <c r="D40" s="465" t="str">
        <f aca="false">IF(ISERROR(VLOOKUP($A40,'liste reference'!$A$7:$D$892,2,0)),IF(ISERROR(VLOOKUP($A40,'liste reference'!$B$7:$D$892,1,0)),"",VLOOKUP($A40,'liste reference'!$B$7:$D$892,1,0)),VLOOKUP($A40,'liste reference'!$A$7:$D$892,2,0))</f>
        <v>Potamogeton berchtoldii</v>
      </c>
      <c r="E40" s="465" t="e">
        <f aca="false">IF(D40="",0,VLOOKUP(D40,D$22:D39,1,0))</f>
        <v>#N/A</v>
      </c>
      <c r="F40" s="471" t="n">
        <f aca="false">($B40*$B$7+$C40*$C$7)/100</f>
        <v>0.028</v>
      </c>
      <c r="G40" s="467" t="str">
        <f aca="false">IF(A40="","",IF(ISERROR(VLOOKUP($A40,'liste reference'!$A$7:$P$892,13,0)),IF(ISERROR(VLOOKUP($A40,'liste reference'!$B$7:$P$892,12,0)),"    -",VLOOKUP($A40,'liste reference'!$B$7:$P$892,12,0)),VLOOKUP($A40,'liste reference'!$A$7:$P$892,13,0)))</f>
        <v>PHy</v>
      </c>
      <c r="H40" s="449" t="n">
        <f aca="false">IF(A40="","x",IF(ISERROR(VLOOKUP($A40,'liste reference'!$A$7:$P$892,14,0)),IF(ISERROR(VLOOKUP($A40,'liste reference'!$B$7:$P$892,13,0)),"x",VLOOKUP($A40,'liste reference'!$B$7:$P$892,13,0)),VLOOKUP($A40,'liste reference'!$A$7:$P$892,14,0)))</f>
        <v>7</v>
      </c>
      <c r="I40" s="468" t="n">
        <f aca="false">IF(ISNUMBER(H40),IF(ISERROR(VLOOKUP($A40,'liste reference'!$A$7:$P$892,3,0)),IF(ISERROR(VLOOKUP($A40,'liste reference'!$B$7:$P$892,2,0)),"",VLOOKUP($A40,'liste reference'!$B$7:$P$892,2,0)),VLOOKUP($A40,'liste reference'!$A$7:$P$892,3,0)),"")</f>
        <v>9</v>
      </c>
      <c r="J40" s="451" t="n">
        <f aca="false">IF(ISNUMBER(H40),IF(ISERROR(VLOOKUP($A40,'liste reference'!$A$7:$P$892,4,0)),IF(ISERROR(VLOOKUP($A40,'liste reference'!$B$7:$P$892,3,0)),"",VLOOKUP($A40,'liste reference'!$B$7:$P$892,3,0)),VLOOKUP($A40,'liste reference'!$A$7:$P$892,4,0)),"")</f>
        <v>2</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Potamogeton berchtoldii</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1642</v>
      </c>
      <c r="Q40" s="455" t="n">
        <f aca="false">IF(ISTEXT(H40),"",(B40*$B$7/100)+(C40*$C$7/100))</f>
        <v>0.028</v>
      </c>
      <c r="R40" s="456" t="n">
        <f aca="false">IF(OR(ISTEXT(H40),Q40=0),"",IF(Q40&lt;0.1,1,IF(Q40&lt;1,2,IF(Q40&lt;10,3,IF(Q40&lt;50,4,IF(Q40&gt;=50,5,""))))))</f>
        <v>1</v>
      </c>
      <c r="S40" s="456" t="n">
        <f aca="false">IF(ISERROR(R40*I40),0,R40*I40)</f>
        <v>9</v>
      </c>
      <c r="T40" s="456" t="n">
        <f aca="false">IF(ISERROR(R40*I40*J40),0,R40*I40*J40)</f>
        <v>18</v>
      </c>
      <c r="U40" s="470" t="n">
        <f aca="false">IF(ISERROR(R40*J40),0,R40*J40)</f>
        <v>2</v>
      </c>
      <c r="V40" s="457" t="n">
        <v>2</v>
      </c>
      <c r="W40" s="458"/>
      <c r="Y40" s="459" t="str">
        <f aca="false">IF(A40="new.cod","NEWCOD",IF(AND((Z40=""),ISTEXT(A40)),A40,IF(Z40="","",INDEX('liste reference'!$A$7:$A$892,Z40))))</f>
        <v>POTBER</v>
      </c>
      <c r="Z40" s="250" t="n">
        <f aca="false">IF(ISERROR(MATCH(A40,'liste reference'!$A$7:$A$892,0)),IF(ISERROR(MATCH(A40,'liste reference'!$B$7:$B$892,0)),"",(MATCH(A40,'liste reference'!$B$7:$B$892,0))),(MATCH(A40,'liste reference'!$A$7:$A$892,0)))</f>
        <v>613</v>
      </c>
      <c r="AA40" s="460"/>
      <c r="AB40" s="461"/>
      <c r="AC40" s="461"/>
      <c r="BC40" s="250" t="n">
        <f aca="false">IF(A40="","",1)</f>
        <v>1</v>
      </c>
    </row>
    <row r="41" customFormat="false" ht="12.75" hidden="false" customHeight="false" outlineLevel="0" collapsed="false">
      <c r="A41" s="462" t="s">
        <v>1336</v>
      </c>
      <c r="B41" s="463" t="n">
        <v>0.005</v>
      </c>
      <c r="C41" s="464"/>
      <c r="D41" s="465" t="str">
        <f aca="false">IF(ISERROR(VLOOKUP($A41,'liste reference'!$A$7:$D$892,2,0)),IF(ISERROR(VLOOKUP($A41,'liste reference'!$B$7:$D$892,1,0)),"",VLOOKUP($A41,'liste reference'!$B$7:$D$892,1,0)),VLOOKUP($A41,'liste reference'!$A$7:$D$892,2,0))</f>
        <v>Lycopus europaeus</v>
      </c>
      <c r="E41" s="465" t="e">
        <f aca="false">IF(D41="",0,VLOOKUP(D41,D$17:D38,1,0))</f>
        <v>#N/A</v>
      </c>
      <c r="F41" s="471" t="n">
        <f aca="false">($B41*$B$7+$C41*$C$7)/100</f>
        <v>0.0022</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11</v>
      </c>
      <c r="J41" s="451" t="n">
        <f aca="false">IF(ISNUMBER(H41),IF(ISERROR(VLOOKUP($A41,'liste reference'!$A$7:$P$892,4,0)),IF(ISERROR(VLOOKUP($A41,'liste reference'!$B$7:$P$892,3,0)),"",VLOOKUP($A41,'liste reference'!$B$7:$P$892,3,0)),VLOOKUP($A41,'liste reference'!$A$7:$P$892,4,0)),"")</f>
        <v>1</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Lycopus europaeus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1789</v>
      </c>
      <c r="Q41" s="455" t="n">
        <f aca="false">IF(ISTEXT(H41),"",(B41*$B$7/100)+(C41*$C$7/100))</f>
        <v>0.0022</v>
      </c>
      <c r="R41" s="456" t="n">
        <f aca="false">IF(OR(ISTEXT(H41),Q41=0),"",IF(Q41&lt;0.1,1,IF(Q41&lt;1,2,IF(Q41&lt;10,3,IF(Q41&lt;50,4,IF(Q41&gt;=50,5,""))))))</f>
        <v>1</v>
      </c>
      <c r="S41" s="456" t="n">
        <f aca="false">IF(ISERROR(R41*I41),0,R41*I41)</f>
        <v>11</v>
      </c>
      <c r="T41" s="456" t="n">
        <f aca="false">IF(ISERROR(R41*I41*J41),0,R41*I41*J41)</f>
        <v>11</v>
      </c>
      <c r="U41" s="470" t="n">
        <f aca="false">IF(ISERROR(R41*J41),0,R41*J41)</f>
        <v>1</v>
      </c>
      <c r="V41" s="457" t="n">
        <v>1</v>
      </c>
      <c r="W41" s="458"/>
      <c r="Y41" s="459" t="str">
        <f aca="false">IF(A41="new.cod","NEWCOD",IF(AND((Z41=""),ISTEXT(A41)),A41,IF(Z41="","",INDEX('liste reference'!$A$7:$A$892,Z41))))</f>
        <v>LYCEUR</v>
      </c>
      <c r="Z41" s="250" t="n">
        <f aca="false">IF(ISERROR(MATCH(A41,'liste reference'!$A$7:$A$892,0)),IF(ISERROR(MATCH(A41,'liste reference'!$B$7:$B$892,0)),"",(MATCH(A41,'liste reference'!$B$7:$B$892,0))),(MATCH(A41,'liste reference'!$A$7:$A$892,0)))</f>
        <v>433</v>
      </c>
      <c r="AA41" s="460"/>
      <c r="AB41" s="461"/>
      <c r="AC41" s="461"/>
      <c r="BC41" s="250" t="n">
        <f aca="false">IF(A41="","",1)</f>
        <v>1</v>
      </c>
    </row>
    <row r="42" customFormat="false" ht="12.75" hidden="false" customHeight="false" outlineLevel="0" collapsed="false">
      <c r="A42" s="462" t="s">
        <v>1410</v>
      </c>
      <c r="B42" s="463" t="n">
        <v>0.1</v>
      </c>
      <c r="C42" s="464" t="n">
        <v>0.005</v>
      </c>
      <c r="D42" s="465" t="str">
        <f aca="false">IF(ISERROR(VLOOKUP($A42,'liste reference'!$A$7:$D$892,2,0)),IF(ISERROR(VLOOKUP($A42,'liste reference'!$B$7:$D$892,1,0)),"",VLOOKUP($A42,'liste reference'!$B$7:$D$892,1,0)),VLOOKUP($A42,'liste reference'!$A$7:$D$892,2,0))</f>
        <v>Mentha aquatica</v>
      </c>
      <c r="E42" s="465" t="e">
        <f aca="false">IF(D42="",0,VLOOKUP(D42,D$22:D41,1,0))</f>
        <v>#N/A</v>
      </c>
      <c r="F42" s="471" t="n">
        <f aca="false">($B42*$B$7+$C42*$C$7)/100</f>
        <v>0.0468</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12</v>
      </c>
      <c r="J42" s="451" t="n">
        <f aca="false">IF(ISNUMBER(H42),IF(ISERROR(VLOOKUP($A42,'liste reference'!$A$7:$P$892,4,0)),IF(ISERROR(VLOOKUP($A42,'liste reference'!$B$7:$P$892,3,0)),"",VLOOKUP($A42,'liste reference'!$B$7:$P$892,3,0)),VLOOKUP($A42,'liste reference'!$A$7:$P$892,4,0)),"")</f>
        <v>1</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Mentha aquatica</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1791</v>
      </c>
      <c r="Q42" s="455" t="n">
        <f aca="false">IF(ISTEXT(H42),"",(B42*$B$7/100)+(C42*$C$7/100))</f>
        <v>0.0468</v>
      </c>
      <c r="R42" s="456" t="n">
        <f aca="false">IF(OR(ISTEXT(H42),Q42=0),"",IF(Q42&lt;0.1,1,IF(Q42&lt;1,2,IF(Q42&lt;10,3,IF(Q42&lt;50,4,IF(Q42&gt;=50,5,""))))))</f>
        <v>1</v>
      </c>
      <c r="S42" s="456" t="n">
        <f aca="false">IF(ISERROR(R42*I42),0,R42*I42)</f>
        <v>12</v>
      </c>
      <c r="T42" s="456" t="n">
        <f aca="false">IF(ISERROR(R42*I42*J42),0,R42*I42*J42)</f>
        <v>12</v>
      </c>
      <c r="U42" s="470" t="n">
        <f aca="false">IF(ISERROR(R42*J42),0,R42*J42)</f>
        <v>1</v>
      </c>
      <c r="V42" s="457" t="n">
        <v>1</v>
      </c>
      <c r="W42" s="458"/>
      <c r="Y42" s="459" t="str">
        <f aca="false">IF(A42="new.cod","NEWCOD",IF(AND((Z42=""),ISTEXT(A42)),A42,IF(Z42="","",INDEX('liste reference'!$A$7:$A$892,Z42))))</f>
        <v>MENAQU</v>
      </c>
      <c r="Z42" s="250" t="n">
        <f aca="false">IF(ISERROR(MATCH(A42,'liste reference'!$A$7:$A$892,0)),IF(ISERROR(MATCH(A42,'liste reference'!$B$7:$B$892,0)),"",(MATCH(A42,'liste reference'!$B$7:$B$892,0))),(MATCH(A42,'liste reference'!$A$7:$A$892,0)))</f>
        <v>458</v>
      </c>
      <c r="AA42" s="460"/>
      <c r="AB42" s="461"/>
      <c r="AC42" s="461"/>
      <c r="BC42" s="250" t="n">
        <f aca="false">IF(A42="","",1)</f>
        <v>1</v>
      </c>
    </row>
    <row r="43" customFormat="false" ht="12.75" hidden="false" customHeight="false" outlineLevel="0" collapsed="false">
      <c r="A43" s="462" t="s">
        <v>1550</v>
      </c>
      <c r="B43" s="463"/>
      <c r="C43" s="464" t="n">
        <v>0.005</v>
      </c>
      <c r="D43" s="465" t="str">
        <f aca="false">IF(ISERROR(VLOOKUP($A43,'liste reference'!$A$7:$D$892,2,0)),IF(ISERROR(VLOOKUP($A43,'liste reference'!$B$7:$D$892,1,0)),"",VLOOKUP($A43,'liste reference'!$B$7:$D$892,1,0)),VLOOKUP($A43,'liste reference'!$A$7:$D$892,2,0))</f>
        <v>Nasturtium officinale</v>
      </c>
      <c r="E43" s="465" t="e">
        <f aca="false">IF(D43="",0,VLOOKUP(D43,D$22:D42,1,0))</f>
        <v>#N/A</v>
      </c>
      <c r="F43" s="471" t="n">
        <f aca="false">($B43*$B$7+$C43*$C$7)/100</f>
        <v>0.0028</v>
      </c>
      <c r="G43" s="467" t="str">
        <f aca="false">IF(A43="","",IF(ISERROR(VLOOKUP($A43,'liste reference'!$A$7:$P$892,13,0)),IF(ISERROR(VLOOKUP($A43,'liste reference'!$B$7:$P$892,12,0)),"    -",VLOOKUP($A43,'liste reference'!$B$7:$P$892,12,0)),VLOOKUP($A43,'liste reference'!$A$7:$P$892,13,0)))</f>
        <v>PHe</v>
      </c>
      <c r="H43" s="449" t="n">
        <f aca="false">IF(A43="","x",IF(ISERROR(VLOOKUP($A43,'liste reference'!$A$7:$P$892,14,0)),IF(ISERROR(VLOOKUP($A43,'liste reference'!$B$7:$P$892,13,0)),"x",VLOOKUP($A43,'liste reference'!$B$7:$P$892,13,0)),VLOOKUP($A43,'liste reference'!$A$7:$P$892,14,0)))</f>
        <v>8</v>
      </c>
      <c r="I43" s="468" t="n">
        <f aca="false">IF(ISNUMBER(H43),IF(ISERROR(VLOOKUP($A43,'liste reference'!$A$7:$P$892,3,0)),IF(ISERROR(VLOOKUP($A43,'liste reference'!$B$7:$P$892,2,0)),"",VLOOKUP($A43,'liste reference'!$B$7:$P$892,2,0)),VLOOKUP($A43,'liste reference'!$A$7:$P$892,3,0)),"")</f>
        <v>11</v>
      </c>
      <c r="J43" s="451" t="n">
        <f aca="false">IF(ISNUMBER(H43),IF(ISERROR(VLOOKUP($A43,'liste reference'!$A$7:$P$892,4,0)),IF(ISERROR(VLOOKUP($A43,'liste reference'!$B$7:$P$892,3,0)),"",VLOOKUP($A43,'liste reference'!$B$7:$P$892,3,0)),VLOOKUP($A43,'liste reference'!$A$7:$P$892,4,0)),"")</f>
        <v>1</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Nasturtium officinale</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1763</v>
      </c>
      <c r="Q43" s="455" t="n">
        <f aca="false">IF(ISTEXT(H43),"",(B43*$B$7/100)+(C43*$C$7/100))</f>
        <v>0.0028</v>
      </c>
      <c r="R43" s="456" t="n">
        <f aca="false">IF(OR(ISTEXT(H43),Q43=0),"",IF(Q43&lt;0.1,1,IF(Q43&lt;1,2,IF(Q43&lt;10,3,IF(Q43&lt;50,4,IF(Q43&gt;=50,5,""))))))</f>
        <v>1</v>
      </c>
      <c r="S43" s="456" t="n">
        <f aca="false">IF(ISERROR(R43*I43),0,R43*I43)</f>
        <v>11</v>
      </c>
      <c r="T43" s="456" t="n">
        <f aca="false">IF(ISERROR(R43*I43*J43),0,R43*I43*J43)</f>
        <v>11</v>
      </c>
      <c r="U43" s="470" t="n">
        <f aca="false">IF(ISERROR(R43*J43),0,R43*J43)</f>
        <v>1</v>
      </c>
      <c r="V43" s="457" t="n">
        <v>1</v>
      </c>
      <c r="W43" s="458"/>
      <c r="Y43" s="459" t="str">
        <f aca="false">IF(A43="new.cod","NEWCOD",IF(AND((Z43=""),ISTEXT(A43)),A43,IF(Z43="","",INDEX('liste reference'!$A$7:$A$892,Z43))))</f>
        <v>NASOFF</v>
      </c>
      <c r="Z43" s="250" t="n">
        <f aca="false">IF(ISERROR(MATCH(A43,'liste reference'!$A$7:$A$892,0)),IF(ISERROR(MATCH(A43,'liste reference'!$B$7:$B$892,0)),"",(MATCH(A43,'liste reference'!$B$7:$B$892,0))),(MATCH(A43,'liste reference'!$A$7:$A$892,0)))</f>
        <v>514</v>
      </c>
      <c r="AA43" s="460"/>
      <c r="AB43" s="461"/>
      <c r="AC43" s="461"/>
      <c r="BC43" s="250" t="n">
        <f aca="false">IF(A43="","",1)</f>
        <v>1</v>
      </c>
    </row>
    <row r="44" customFormat="false" ht="12.75" hidden="false" customHeight="false" outlineLevel="0" collapsed="false">
      <c r="A44" s="462" t="s">
        <v>1640</v>
      </c>
      <c r="B44" s="463" t="n">
        <v>0.005</v>
      </c>
      <c r="C44" s="464"/>
      <c r="D44" s="465" t="str">
        <f aca="false">IF(ISERROR(VLOOKUP($A44,'liste reference'!$A$7:$D$892,2,0)),IF(ISERROR(VLOOKUP($A44,'liste reference'!$B$7:$D$892,1,0)),"",VLOOKUP($A44,'liste reference'!$B$7:$D$892,1,0)),VLOOKUP($A44,'liste reference'!$A$7:$D$892,2,0))</f>
        <v>Oenanthe crocata</v>
      </c>
      <c r="E44" s="465" t="e">
        <f aca="false">IF(D44="",0,VLOOKUP(D44,D$22:D43,1,0))</f>
        <v>#N/A</v>
      </c>
      <c r="F44" s="471" t="n">
        <f aca="false">($B44*$B$7+$C44*$C$7)/100</f>
        <v>0.0022</v>
      </c>
      <c r="G44" s="467" t="str">
        <f aca="false">IF(A44="","",IF(ISERROR(VLOOKUP($A44,'liste reference'!$A$7:$P$892,13,0)),IF(ISERROR(VLOOKUP($A44,'liste reference'!$B$7:$P$892,12,0)),"    -",VLOOKUP($A44,'liste reference'!$B$7:$P$892,12,0)),VLOOKUP($A44,'liste reference'!$A$7:$P$892,13,0)))</f>
        <v>PHe</v>
      </c>
      <c r="H44" s="449" t="n">
        <f aca="false">IF(A44="","x",IF(ISERROR(VLOOKUP($A44,'liste reference'!$A$7:$P$892,14,0)),IF(ISERROR(VLOOKUP($A44,'liste reference'!$B$7:$P$892,13,0)),"x",VLOOKUP($A44,'liste reference'!$B$7:$P$892,13,0)),VLOOKUP($A44,'liste reference'!$A$7:$P$892,14,0)))</f>
        <v>8</v>
      </c>
      <c r="I44" s="468" t="n">
        <f aca="false">IF(ISNUMBER(H44),IF(ISERROR(VLOOKUP($A44,'liste reference'!$A$7:$P$892,3,0)),IF(ISERROR(VLOOKUP($A44,'liste reference'!$B$7:$P$892,2,0)),"",VLOOKUP($A44,'liste reference'!$B$7:$P$892,2,0)),VLOOKUP($A44,'liste reference'!$A$7:$P$892,3,0)),"")</f>
        <v>12</v>
      </c>
      <c r="J44" s="451" t="n">
        <f aca="false">IF(ISNUMBER(H44),IF(ISERROR(VLOOKUP($A44,'liste reference'!$A$7:$P$892,4,0)),IF(ISERROR(VLOOKUP($A44,'liste reference'!$B$7:$P$892,3,0)),"",VLOOKUP($A44,'liste reference'!$B$7:$P$892,3,0)),VLOOKUP($A44,'liste reference'!$A$7:$P$892,4,0)),"")</f>
        <v>2</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Oenanthe crocata</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1986</v>
      </c>
      <c r="Q44" s="455" t="n">
        <f aca="false">IF(ISTEXT(H44),"",(B44*$B$7/100)+(C44*$C$7/100))</f>
        <v>0.0022</v>
      </c>
      <c r="R44" s="456" t="n">
        <f aca="false">IF(OR(ISTEXT(H44),Q44=0),"",IF(Q44&lt;0.1,1,IF(Q44&lt;1,2,IF(Q44&lt;10,3,IF(Q44&lt;50,4,IF(Q44&gt;=50,5,""))))))</f>
        <v>1</v>
      </c>
      <c r="S44" s="456" t="n">
        <f aca="false">IF(ISERROR(R44*I44),0,R44*I44)</f>
        <v>12</v>
      </c>
      <c r="T44" s="456" t="n">
        <f aca="false">IF(ISERROR(R44*I44*J44),0,R44*I44*J44)</f>
        <v>24</v>
      </c>
      <c r="U44" s="470" t="n">
        <f aca="false">IF(ISERROR(R44*J44),0,R44*J44)</f>
        <v>2</v>
      </c>
      <c r="V44" s="457" t="n">
        <v>2</v>
      </c>
      <c r="W44" s="458"/>
      <c r="Y44" s="459" t="str">
        <f aca="false">IF(A44="new.cod","NEWCOD",IF(AND((Z44=""),ISTEXT(A44)),A44,IF(Z44="","",INDEX('liste reference'!$A$7:$A$892,Z44))))</f>
        <v>OENCRO</v>
      </c>
      <c r="Z44" s="250" t="n">
        <f aca="false">IF(ISERROR(MATCH(A44,'liste reference'!$A$7:$A$892,0)),IF(ISERROR(MATCH(A44,'liste reference'!$B$7:$B$892,0)),"",(MATCH(A44,'liste reference'!$B$7:$B$892,0))),(MATCH(A44,'liste reference'!$A$7:$A$892,0)))</f>
        <v>544</v>
      </c>
      <c r="AA44" s="460"/>
      <c r="AB44" s="461"/>
      <c r="AC44" s="461"/>
      <c r="BC44" s="250" t="n">
        <f aca="false">IF(A44="","",1)</f>
        <v>1</v>
      </c>
    </row>
    <row r="45" customFormat="false" ht="12.75" hidden="false" customHeight="false" outlineLevel="0" collapsed="false">
      <c r="A45" s="462" t="s">
        <v>1692</v>
      </c>
      <c r="B45" s="463"/>
      <c r="C45" s="464" t="n">
        <v>0.005</v>
      </c>
      <c r="D45" s="465" t="str">
        <f aca="false">IF(ISERROR(VLOOKUP($A45,'liste reference'!$A$7:$D$892,2,0)),IF(ISERROR(VLOOKUP($A45,'liste reference'!$B$7:$D$892,1,0)),"",VLOOKUP($A45,'liste reference'!$B$7:$D$892,1,0)),VLOOKUP($A45,'liste reference'!$A$7:$D$892,2,0))</f>
        <v>Phalaris arundinacea</v>
      </c>
      <c r="E45" s="465" t="e">
        <f aca="false">IF(D45="",0,VLOOKUP(D45,D$22:D44,1,0))</f>
        <v>#N/A</v>
      </c>
      <c r="F45" s="471" t="n">
        <f aca="false">($B45*$B$7+$C45*$C$7)/100</f>
        <v>0.0028</v>
      </c>
      <c r="G45" s="467" t="str">
        <f aca="false">IF(A45="","",IF(ISERROR(VLOOKUP($A45,'liste reference'!$A$7:$P$892,13,0)),IF(ISERROR(VLOOKUP($A45,'liste reference'!$B$7:$P$892,12,0)),"    -",VLOOKUP($A45,'liste reference'!$B$7:$P$892,12,0)),VLOOKUP($A45,'liste reference'!$A$7:$P$892,13,0)))</f>
        <v>PHe</v>
      </c>
      <c r="H45" s="449" t="n">
        <f aca="false">IF(A45="","x",IF(ISERROR(VLOOKUP($A45,'liste reference'!$A$7:$P$892,14,0)),IF(ISERROR(VLOOKUP($A45,'liste reference'!$B$7:$P$892,13,0)),"x",VLOOKUP($A45,'liste reference'!$B$7:$P$892,13,0)),VLOOKUP($A45,'liste reference'!$A$7:$P$892,14,0)))</f>
        <v>8</v>
      </c>
      <c r="I45" s="468" t="n">
        <f aca="false">IF(ISNUMBER(H45),IF(ISERROR(VLOOKUP($A45,'liste reference'!$A$7:$P$892,3,0)),IF(ISERROR(VLOOKUP($A45,'liste reference'!$B$7:$P$892,2,0)),"",VLOOKUP($A45,'liste reference'!$B$7:$P$892,2,0)),VLOOKUP($A45,'liste reference'!$A$7:$P$892,3,0)),"")</f>
        <v>10</v>
      </c>
      <c r="J45" s="451" t="n">
        <f aca="false">IF(ISNUMBER(H45),IF(ISERROR(VLOOKUP($A45,'liste reference'!$A$7:$P$892,4,0)),IF(ISERROR(VLOOKUP($A45,'liste reference'!$B$7:$P$892,3,0)),"",VLOOKUP($A45,'liste reference'!$B$7:$P$892,3,0)),VLOOKUP($A45,'liste reference'!$A$7:$P$892,4,0)),"")</f>
        <v>1</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Phalaris arundinacea</v>
      </c>
      <c r="L45" s="469"/>
      <c r="M45" s="469"/>
      <c r="N45" s="469"/>
      <c r="O45" s="454" t="str">
        <f aca="false">IF(AA45="Cf.","Cf.","")</f>
        <v/>
      </c>
      <c r="P45" s="454" t="n">
        <f aca="false">IF($A45="NEWCOD",IF($AC45="","No",$AC45),IF(ISTEXT($E45),"DEJA SAISI !",IF($A45="","",IF(ISERROR(VLOOKUP($A45,'liste reference'!A:S,19,FALSE())),IF(ISERROR(VLOOKUP($A45,'liste reference'!B:S,19,FALSE())),"",VLOOKUP($A45,'liste reference'!B:S,19,FALSE())),VLOOKUP($A45,'liste reference'!A:S,19,FALSE())))))</f>
        <v>1577</v>
      </c>
      <c r="Q45" s="455" t="n">
        <f aca="false">IF(ISTEXT(H45),"",(B45*$B$7/100)+(C45*$C$7/100))</f>
        <v>0.0028</v>
      </c>
      <c r="R45" s="456" t="n">
        <f aca="false">IF(OR(ISTEXT(H45),Q45=0),"",IF(Q45&lt;0.1,1,IF(Q45&lt;1,2,IF(Q45&lt;10,3,IF(Q45&lt;50,4,IF(Q45&gt;=50,5,""))))))</f>
        <v>1</v>
      </c>
      <c r="S45" s="456" t="n">
        <f aca="false">IF(ISERROR(R45*I45),0,R45*I45)</f>
        <v>10</v>
      </c>
      <c r="T45" s="456" t="n">
        <f aca="false">IF(ISERROR(R45*I45*J45),0,R45*I45*J45)</f>
        <v>10</v>
      </c>
      <c r="U45" s="470" t="n">
        <f aca="false">IF(ISERROR(R45*J45),0,R45*J45)</f>
        <v>1</v>
      </c>
      <c r="V45" s="457" t="n">
        <v>1</v>
      </c>
      <c r="W45" s="458"/>
      <c r="X45" s="458"/>
      <c r="Y45" s="459" t="str">
        <f aca="false">IF(A45="new.cod","NEWCOD",IF(AND((Z45=""),ISTEXT(A45)),A45,IF(Z45="","",INDEX('liste reference'!$A$7:$A$892,Z45))))</f>
        <v>PHAARU</v>
      </c>
      <c r="Z45" s="250" t="n">
        <f aca="false">IF(ISERROR(MATCH(A45,'liste reference'!$A$7:$A$892,0)),IF(ISERROR(MATCH(A45,'liste reference'!$B$7:$B$892,0)),"",(MATCH(A45,'liste reference'!$B$7:$B$892,0))),(MATCH(A45,'liste reference'!$A$7:$A$892,0)))</f>
        <v>565</v>
      </c>
      <c r="AA45" s="460"/>
      <c r="AB45" s="461"/>
      <c r="AC45" s="461"/>
      <c r="BC45" s="250" t="n">
        <f aca="false">IF(A45="","",1)</f>
        <v>1</v>
      </c>
    </row>
    <row r="46" customFormat="false" ht="12.75" hidden="false" customHeight="false" outlineLevel="0" collapsed="false">
      <c r="A46" s="462" t="s">
        <v>1712</v>
      </c>
      <c r="B46" s="463"/>
      <c r="C46" s="464" t="n">
        <v>0.1</v>
      </c>
      <c r="D46" s="465" t="str">
        <f aca="false">IF(ISERROR(VLOOKUP($A46,'liste reference'!$A$7:$D$892,2,0)),IF(ISERROR(VLOOKUP($A46,'liste reference'!$B$7:$D$892,1,0)),"",VLOOKUP($A46,'liste reference'!$B$7:$D$892,1,0)),VLOOKUP($A46,'liste reference'!$A$7:$D$892,2,0))</f>
        <v>Phragmites australis</v>
      </c>
      <c r="E46" s="465" t="e">
        <f aca="false">IF(D46="",0,VLOOKUP(D46,D$22:D45,1,0))</f>
        <v>#N/A</v>
      </c>
      <c r="F46" s="471" t="n">
        <f aca="false">($B46*$B$7+$C46*$C$7)/100</f>
        <v>0.056</v>
      </c>
      <c r="G46" s="467" t="str">
        <f aca="false">IF(A46="","",IF(ISERROR(VLOOKUP($A46,'liste reference'!$A$7:$P$892,13,0)),IF(ISERROR(VLOOKUP($A46,'liste reference'!$B$7:$P$892,12,0)),"    -",VLOOKUP($A46,'liste reference'!$B$7:$P$892,12,0)),VLOOKUP($A46,'liste reference'!$A$7:$P$892,13,0)))</f>
        <v>PHe</v>
      </c>
      <c r="H46" s="449" t="n">
        <f aca="false">IF(A46="","x",IF(ISERROR(VLOOKUP($A46,'liste reference'!$A$7:$P$892,14,0)),IF(ISERROR(VLOOKUP($A46,'liste reference'!$B$7:$P$892,13,0)),"x",VLOOKUP($A46,'liste reference'!$B$7:$P$892,13,0)),VLOOKUP($A46,'liste reference'!$A$7:$P$892,14,0)))</f>
        <v>8</v>
      </c>
      <c r="I46" s="468" t="n">
        <f aca="false">IF(ISNUMBER(H46),IF(ISERROR(VLOOKUP($A46,'liste reference'!$A$7:$P$892,3,0)),IF(ISERROR(VLOOKUP($A46,'liste reference'!$B$7:$P$892,2,0)),"",VLOOKUP($A46,'liste reference'!$B$7:$P$892,2,0)),VLOOKUP($A46,'liste reference'!$A$7:$P$892,3,0)),"")</f>
        <v>9</v>
      </c>
      <c r="J46" s="451" t="n">
        <f aca="false">IF(ISNUMBER(H46),IF(ISERROR(VLOOKUP($A46,'liste reference'!$A$7:$P$892,4,0)),IF(ISERROR(VLOOKUP($A46,'liste reference'!$B$7:$P$892,3,0)),"",VLOOKUP($A46,'liste reference'!$B$7:$P$892,3,0)),VLOOKUP($A46,'liste reference'!$A$7:$P$892,4,0)),"")</f>
        <v>2</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Phragmites australis</v>
      </c>
      <c r="L46" s="469"/>
      <c r="M46" s="469"/>
      <c r="N46" s="469"/>
      <c r="O46" s="454" t="str">
        <f aca="false">IF(AA46="Cf.","Cf.","")</f>
        <v/>
      </c>
      <c r="P46" s="454" t="n">
        <f aca="false">IF($A46="NEWCOD",IF($AC46="","No",$AC46),IF(ISTEXT($E46),"DEJA SAISI !",IF($A46="","",IF(ISERROR(VLOOKUP($A46,'liste reference'!A:S,19,FALSE())),IF(ISERROR(VLOOKUP($A46,'liste reference'!B:S,19,FALSE())),"",VLOOKUP($A46,'liste reference'!B:S,19,FALSE())),VLOOKUP($A46,'liste reference'!A:S,19,FALSE())))))</f>
        <v>1579</v>
      </c>
      <c r="Q46" s="455" t="n">
        <f aca="false">IF(ISTEXT(H46),"",(B46*$B$7/100)+(C46*$C$7/100))</f>
        <v>0.056</v>
      </c>
      <c r="R46" s="456" t="n">
        <f aca="false">IF(OR(ISTEXT(H46),Q46=0),"",IF(Q46&lt;0.1,1,IF(Q46&lt;1,2,IF(Q46&lt;10,3,IF(Q46&lt;50,4,IF(Q46&gt;=50,5,""))))))</f>
        <v>1</v>
      </c>
      <c r="S46" s="456" t="n">
        <f aca="false">IF(ISERROR(R46*I46),0,R46*I46)</f>
        <v>9</v>
      </c>
      <c r="T46" s="456" t="n">
        <f aca="false">IF(ISERROR(R46*I46*J46),0,R46*I46*J46)</f>
        <v>18</v>
      </c>
      <c r="U46" s="470" t="n">
        <f aca="false">IF(ISERROR(R46*J46),0,R46*J46)</f>
        <v>2</v>
      </c>
      <c r="V46" s="457" t="n">
        <v>2</v>
      </c>
      <c r="W46" s="458"/>
      <c r="Y46" s="459" t="str">
        <f aca="false">IF(A46="new.cod","NEWCOD",IF(AND((Z46=""),ISTEXT(A46)),A46,IF(Z46="","",INDEX('liste reference'!$A$7:$A$892,Z46))))</f>
        <v>PHRAUS</v>
      </c>
      <c r="Z46" s="250" t="n">
        <f aca="false">IF(ISERROR(MATCH(A46,'liste reference'!$A$7:$A$892,0)),IF(ISERROR(MATCH(A46,'liste reference'!$B$7:$B$892,0)),"",(MATCH(A46,'liste reference'!$B$7:$B$892,0))),(MATCH(A46,'liste reference'!$A$7:$A$892,0)))</f>
        <v>571</v>
      </c>
      <c r="AA46" s="460"/>
      <c r="AB46" s="461"/>
      <c r="AC46" s="461"/>
      <c r="BC46" s="250" t="n">
        <f aca="false">IF(A46="","",1)</f>
        <v>1</v>
      </c>
    </row>
    <row r="47" customFormat="false" ht="12.75" hidden="false" customHeight="false" outlineLevel="0" collapsed="false">
      <c r="A47" s="462" t="s">
        <v>2496</v>
      </c>
      <c r="B47" s="463" t="n">
        <v>3</v>
      </c>
      <c r="C47" s="464" t="n">
        <v>0.5</v>
      </c>
      <c r="D47" s="465" t="str">
        <f aca="false">IF(ISERROR(VLOOKUP($A47,'liste reference'!$A$7:$D$892,2,0)),IF(ISERROR(VLOOKUP($A47,'liste reference'!$B$7:$D$892,1,0)),"",VLOOKUP($A47,'liste reference'!$B$7:$D$892,1,0)),VLOOKUP($A47,'liste reference'!$A$7:$D$892,2,0))</f>
        <v>Typha sp.</v>
      </c>
      <c r="E47" s="465" t="e">
        <f aca="false">IF(D47="",0,VLOOKUP(D47,D$22:D46,1,0))</f>
        <v>#N/A</v>
      </c>
      <c r="F47" s="471" t="n">
        <f aca="false">($B47*$B$7+$C47*$C$7)/100</f>
        <v>1.6</v>
      </c>
      <c r="G47" s="467" t="str">
        <f aca="false">IF(A47="","",IF(ISERROR(VLOOKUP($A47,'liste reference'!$A$7:$P$892,13,0)),IF(ISERROR(VLOOKUP($A47,'liste reference'!$B$7:$P$892,12,0)),"    -",VLOOKUP($A47,'liste reference'!$B$7:$P$892,12,0)),VLOOKUP($A47,'liste reference'!$A$7:$P$892,13,0)))</f>
        <v>PHe</v>
      </c>
      <c r="H47" s="449" t="n">
        <f aca="false">IF(A47="","x",IF(ISERROR(VLOOKUP($A47,'liste reference'!$A$7:$P$892,14,0)),IF(ISERROR(VLOOKUP($A47,'liste reference'!$B$7:$P$892,13,0)),"x",VLOOKUP($A47,'liste reference'!$B$7:$P$892,13,0)),VLOOKUP($A47,'liste reference'!$A$7:$P$892,14,0)))</f>
        <v>8</v>
      </c>
      <c r="I47" s="468" t="n">
        <f aca="false">IF(ISNUMBER(H47),IF(ISERROR(VLOOKUP($A47,'liste reference'!$A$7:$P$892,3,0)),IF(ISERROR(VLOOKUP($A47,'liste reference'!$B$7:$P$892,2,0)),"",VLOOKUP($A47,'liste reference'!$B$7:$P$892,2,0)),VLOOKUP($A47,'liste reference'!$A$7:$P$892,3,0)),"")</f>
        <v>0</v>
      </c>
      <c r="J47" s="451" t="n">
        <f aca="false">IF(ISNUMBER(H47),IF(ISERROR(VLOOKUP($A47,'liste reference'!$A$7:$P$892,4,0)),IF(ISERROR(VLOOKUP($A47,'liste reference'!$B$7:$P$892,3,0)),"",VLOOKUP($A47,'liste reference'!$B$7:$P$892,3,0)),VLOOKUP($A47,'liste reference'!$A$7:$P$892,4,0)),"")</f>
        <v>0</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Typha sp.</v>
      </c>
      <c r="L47" s="469"/>
      <c r="M47" s="469"/>
      <c r="N47" s="469"/>
      <c r="O47" s="454" t="str">
        <f aca="false">IF(AA47="Cf.","Cf.","")</f>
        <v/>
      </c>
      <c r="P47" s="454" t="n">
        <f aca="false">IF($A47="NEWCOD",IF($AC47="","No",$AC47),IF(ISTEXT($E47),"DEJA SAISI !",IF($A47="","",IF(ISERROR(VLOOKUP($A47,'liste reference'!A:S,19,FALSE())),IF(ISERROR(VLOOKUP($A47,'liste reference'!B:S,19,FALSE())),"",VLOOKUP($A47,'liste reference'!B:S,19,FALSE())),VLOOKUP($A47,'liste reference'!A:S,19,FALSE())))))</f>
        <v>1674</v>
      </c>
      <c r="Q47" s="455" t="n">
        <f aca="false">IF(ISTEXT(H47),"",(B47*$B$7/100)+(C47*$C$7/100))</f>
        <v>1.6</v>
      </c>
      <c r="R47" s="456" t="n">
        <f aca="false">IF(OR(ISTEXT(H47),Q47=0),"",IF(Q47&lt;0.1,1,IF(Q47&lt;1,2,IF(Q47&lt;10,3,IF(Q47&lt;50,4,IF(Q47&gt;=50,5,""))))))</f>
        <v>3</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TYPSPX</v>
      </c>
      <c r="Z47" s="250" t="n">
        <f aca="false">IF(ISERROR(MATCH(A47,'liste reference'!$A$7:$A$892,0)),IF(ISERROR(MATCH(A47,'liste reference'!$B$7:$B$892,0)),"",(MATCH(A47,'liste reference'!$B$7:$B$892,0))),(MATCH(A47,'liste reference'!$A$7:$A$892,0)))</f>
        <v>850</v>
      </c>
      <c r="AA47" s="460"/>
      <c r="AB47" s="461"/>
      <c r="AC47" s="461"/>
      <c r="BC47" s="250" t="n">
        <f aca="false">IF(A47="","",1)</f>
        <v>1</v>
      </c>
    </row>
    <row r="48" customFormat="false" ht="12.75" hidden="false" customHeight="false" outlineLevel="0" collapsed="false">
      <c r="A48" s="462" t="s">
        <v>653</v>
      </c>
      <c r="B48" s="463" t="n">
        <v>0.4</v>
      </c>
      <c r="C48" s="464" t="n">
        <v>0.01</v>
      </c>
      <c r="D48" s="465" t="str">
        <f aca="false">IF(ISERROR(VLOOKUP($A48,'liste reference'!$A$7:$D$892,2,0)),IF(ISERROR(VLOOKUP($A48,'liste reference'!$B$7:$D$892,1,0)),"",VLOOKUP($A48,'liste reference'!$B$7:$D$892,1,0)),VLOOKUP($A48,'liste reference'!$A$7:$D$892,2,0))</f>
        <v>Cyperus longus</v>
      </c>
      <c r="E48" s="465" t="e">
        <f aca="false">IF(D48="",0,VLOOKUP(D48,D$22:D47,1,0))</f>
        <v>#N/A</v>
      </c>
      <c r="F48" s="471" t="n">
        <f aca="false">($B48*$B$7+$C48*$C$7)/100</f>
        <v>0.1816</v>
      </c>
      <c r="G48" s="467" t="str">
        <f aca="false">IF(A48="","",IF(ISERROR(VLOOKUP($A48,'liste reference'!$A$7:$P$892,13,0)),IF(ISERROR(VLOOKUP($A48,'liste reference'!$B$7:$P$892,12,0)),"    -",VLOOKUP($A48,'liste reference'!$B$7:$P$892,12,0)),VLOOKUP($A48,'liste reference'!$A$7:$P$892,13,0)))</f>
        <v>PHg</v>
      </c>
      <c r="H48" s="449" t="n">
        <f aca="false">IF(A48="","x",IF(ISERROR(VLOOKUP($A48,'liste reference'!$A$7:$P$892,14,0)),IF(ISERROR(VLOOKUP($A48,'liste reference'!$B$7:$P$892,13,0)),"x",VLOOKUP($A48,'liste reference'!$B$7:$P$892,13,0)),VLOOKUP($A48,'liste reference'!$A$7:$P$892,14,0)))</f>
        <v>9</v>
      </c>
      <c r="I48" s="468" t="n">
        <f aca="false">IF(ISNUMBER(H48),IF(ISERROR(VLOOKUP($A48,'liste reference'!$A$7:$P$892,3,0)),IF(ISERROR(VLOOKUP($A48,'liste reference'!$B$7:$P$892,2,0)),"",VLOOKUP($A48,'liste reference'!$B$7:$P$892,2,0)),VLOOKUP($A48,'liste reference'!$A$7:$P$892,3,0)),"")</f>
        <v>0</v>
      </c>
      <c r="J48" s="451" t="n">
        <f aca="false">IF(ISNUMBER(H48),IF(ISERROR(VLOOKUP($A48,'liste reference'!$A$7:$P$892,4,0)),IF(ISERROR(VLOOKUP($A48,'liste reference'!$B$7:$P$892,3,0)),"",VLOOKUP($A48,'liste reference'!$B$7:$P$892,3,0)),VLOOKUP($A48,'liste reference'!$A$7:$P$892,4,0)),"")</f>
        <v>0</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Cyperus longus</v>
      </c>
      <c r="L48" s="469"/>
      <c r="M48" s="469"/>
      <c r="N48" s="469"/>
      <c r="O48" s="454" t="str">
        <f aca="false">IF(AA48="Cf.","Cf.","")</f>
        <v/>
      </c>
      <c r="P48" s="454" t="n">
        <f aca="false">IF($A48="NEWCOD",IF($AC48="","No",$AC48),IF(ISTEXT($E48),"DEJA SAISI !",IF($A48="","",IF(ISERROR(VLOOKUP($A48,'liste reference'!A:S,19,FALSE())),IF(ISERROR(VLOOKUP($A48,'liste reference'!B:S,19,FALSE())),"",VLOOKUP($A48,'liste reference'!B:S,19,FALSE())),VLOOKUP($A48,'liste reference'!A:S,19,FALSE())))))</f>
        <v>15</v>
      </c>
      <c r="Q48" s="455" t="n">
        <f aca="false">IF(ISTEXT(H48),"",(B48*$B$7/100)+(C48*$C$7/100))</f>
        <v>0.1816</v>
      </c>
      <c r="R48" s="456" t="n">
        <f aca="false">IF(OR(ISTEXT(H48),Q48=0),"",IF(Q48&lt;0.1,1,IF(Q48&lt;1,2,IF(Q48&lt;10,3,IF(Q48&lt;50,4,IF(Q48&gt;=50,5,""))))))</f>
        <v>2</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CYPLON</v>
      </c>
      <c r="Z48" s="250" t="n">
        <f aca="false">IF(ISERROR(MATCH(A48,'liste reference'!$A$7:$A$892,0)),IF(ISERROR(MATCH(A48,'liste reference'!$B$7:$B$892,0)),"",(MATCH(A48,'liste reference'!$B$7:$B$892,0))),(MATCH(A48,'liste reference'!$A$7:$A$892,0)))</f>
        <v>201</v>
      </c>
      <c r="AA48" s="460"/>
      <c r="AB48" s="461"/>
      <c r="AC48" s="461"/>
      <c r="BC48" s="250" t="n">
        <f aca="false">IF(A48="","",1)</f>
        <v>1</v>
      </c>
    </row>
    <row r="49" customFormat="false" ht="12.75" hidden="false" customHeight="false" outlineLevel="0" collapsed="false">
      <c r="A49" s="462" t="s">
        <v>1229</v>
      </c>
      <c r="B49" s="463"/>
      <c r="C49" s="464" t="n">
        <v>0.02</v>
      </c>
      <c r="D49" s="465" t="str">
        <f aca="false">IF(ISERROR(VLOOKUP($A49,'liste reference'!$A$7:$D$892,2,0)),IF(ISERROR(VLOOKUP($A49,'liste reference'!$B$7:$D$892,1,0)),"",VLOOKUP($A49,'liste reference'!$B$7:$D$892,1,0)),VLOOKUP($A49,'liste reference'!$A$7:$D$892,2,0))</f>
        <v>Juncus articulatus</v>
      </c>
      <c r="E49" s="465" t="e">
        <f aca="false">IF(D49="",0,VLOOKUP(D49,D$22:D48,1,0))</f>
        <v>#N/A</v>
      </c>
      <c r="F49" s="471" t="n">
        <f aca="false">($B49*$B$7+$C49*$C$7)/100</f>
        <v>0.0112</v>
      </c>
      <c r="G49" s="467" t="str">
        <f aca="false">IF(A49="","",IF(ISERROR(VLOOKUP($A49,'liste reference'!$A$7:$P$892,13,0)),IF(ISERROR(VLOOKUP($A49,'liste reference'!$B$7:$P$892,12,0)),"    -",VLOOKUP($A49,'liste reference'!$B$7:$P$892,12,0)),VLOOKUP($A49,'liste reference'!$A$7:$P$892,13,0)))</f>
        <v>PHg</v>
      </c>
      <c r="H49" s="449" t="n">
        <f aca="false">IF(A49="","x",IF(ISERROR(VLOOKUP($A49,'liste reference'!$A$7:$P$892,14,0)),IF(ISERROR(VLOOKUP($A49,'liste reference'!$B$7:$P$892,13,0)),"x",VLOOKUP($A49,'liste reference'!$B$7:$P$892,13,0)),VLOOKUP($A49,'liste reference'!$A$7:$P$892,14,0)))</f>
        <v>9</v>
      </c>
      <c r="I49" s="468" t="n">
        <f aca="false">IF(ISNUMBER(H49),IF(ISERROR(VLOOKUP($A49,'liste reference'!$A$7:$P$892,3,0)),IF(ISERROR(VLOOKUP($A49,'liste reference'!$B$7:$P$892,2,0)),"",VLOOKUP($A49,'liste reference'!$B$7:$P$892,2,0)),VLOOKUP($A49,'liste reference'!$A$7:$P$892,3,0)),"")</f>
        <v>0</v>
      </c>
      <c r="J49" s="451" t="n">
        <f aca="false">IF(ISNUMBER(H49),IF(ISERROR(VLOOKUP($A49,'liste reference'!$A$7:$P$892,4,0)),IF(ISERROR(VLOOKUP($A49,'liste reference'!$B$7:$P$892,3,0)),"",VLOOKUP($A49,'liste reference'!$B$7:$P$892,3,0)),VLOOKUP($A49,'liste reference'!$A$7:$P$892,4,0)),"")</f>
        <v>0</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Juncus articulatus</v>
      </c>
      <c r="L49" s="469"/>
      <c r="M49" s="469"/>
      <c r="N49" s="469"/>
      <c r="O49" s="454" t="str">
        <f aca="false">IF(AA49="Cf.","Cf.","")</f>
        <v/>
      </c>
      <c r="P49" s="454" t="n">
        <f aca="false">IF($A49="NEWCOD",IF($AC49="","No",$AC49),IF(ISTEXT($E49),"DEJA SAISI !",IF($A49="","",IF(ISERROR(VLOOKUP($A49,'liste reference'!A:S,19,FALSE())),IF(ISERROR(VLOOKUP($A49,'liste reference'!B:S,19,FALSE())),"",VLOOKUP($A49,'liste reference'!B:S,19,FALSE())),VLOOKUP($A49,'liste reference'!A:S,19,FALSE())))))</f>
        <v>169</v>
      </c>
      <c r="Q49" s="455" t="n">
        <f aca="false">IF(ISTEXT(H49),"",(B49*$B$7/100)+(C49*$C$7/100))</f>
        <v>0.0112</v>
      </c>
      <c r="R49" s="456" t="n">
        <f aca="false">IF(OR(ISTEXT(H49),Q49=0),"",IF(Q49&lt;0.1,1,IF(Q49&lt;1,2,IF(Q49&lt;10,3,IF(Q49&lt;50,4,IF(Q49&gt;=50,5,""))))))</f>
        <v>1</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JUNART</v>
      </c>
      <c r="Z49" s="250" t="n">
        <f aca="false">IF(ISERROR(MATCH(A49,'liste reference'!$A$7:$A$892,0)),IF(ISERROR(MATCH(A49,'liste reference'!$B$7:$B$892,0)),"",(MATCH(A49,'liste reference'!$B$7:$B$892,0))),(MATCH(A49,'liste reference'!$A$7:$A$892,0)))</f>
        <v>392</v>
      </c>
      <c r="AA49" s="460"/>
      <c r="AB49" s="461"/>
      <c r="AC49" s="461"/>
      <c r="BC49" s="250" t="n">
        <f aca="false">IF(A49="","",1)</f>
        <v>1</v>
      </c>
    </row>
    <row r="50" customFormat="false" ht="12.75" hidden="false" customHeight="false" outlineLevel="0" collapsed="false">
      <c r="A50" s="462" t="s">
        <v>1269</v>
      </c>
      <c r="B50" s="463" t="n">
        <v>0.005</v>
      </c>
      <c r="C50" s="464"/>
      <c r="D50" s="465" t="str">
        <f aca="false">IF(ISERROR(VLOOKUP($A50,'liste reference'!$A$7:$D$892,2,0)),IF(ISERROR(VLOOKUP($A50,'liste reference'!$B$7:$D$892,1,0)),"",VLOOKUP($A50,'liste reference'!$B$7:$D$892,1,0)),VLOOKUP($A50,'liste reference'!$A$7:$D$892,2,0))</f>
        <v>Leersia oryzoïdes</v>
      </c>
      <c r="E50" s="465" t="e">
        <f aca="false">IF(D50="",0,VLOOKUP(D50,D$22:D49,1,0))</f>
        <v>#N/A</v>
      </c>
      <c r="F50" s="471" t="n">
        <f aca="false">($B50*$B$7+$C50*$C$7)/100</f>
        <v>0.0022</v>
      </c>
      <c r="G50" s="467" t="str">
        <f aca="false">IF(A50="","",IF(ISERROR(VLOOKUP($A50,'liste reference'!$A$7:$P$892,13,0)),IF(ISERROR(VLOOKUP($A50,'liste reference'!$B$7:$P$892,12,0)),"    -",VLOOKUP($A50,'liste reference'!$B$7:$P$892,12,0)),VLOOKUP($A50,'liste reference'!$A$7:$P$892,13,0)))</f>
        <v>PHg</v>
      </c>
      <c r="H50" s="449" t="n">
        <f aca="false">IF(A50="","x",IF(ISERROR(VLOOKUP($A50,'liste reference'!$A$7:$P$892,14,0)),IF(ISERROR(VLOOKUP($A50,'liste reference'!$B$7:$P$892,13,0)),"x",VLOOKUP($A50,'liste reference'!$B$7:$P$892,13,0)),VLOOKUP($A50,'liste reference'!$A$7:$P$892,14,0)))</f>
        <v>9</v>
      </c>
      <c r="I50" s="468" t="n">
        <f aca="false">IF(ISNUMBER(H50),IF(ISERROR(VLOOKUP($A50,'liste reference'!$A$7:$P$892,3,0)),IF(ISERROR(VLOOKUP($A50,'liste reference'!$B$7:$P$892,2,0)),"",VLOOKUP($A50,'liste reference'!$B$7:$P$892,2,0)),VLOOKUP($A50,'liste reference'!$A$7:$P$892,3,0)),"")</f>
        <v>0</v>
      </c>
      <c r="J50" s="451" t="n">
        <f aca="false">IF(ISNUMBER(H50),IF(ISERROR(VLOOKUP($A50,'liste reference'!$A$7:$P$892,4,0)),IF(ISERROR(VLOOKUP($A50,'liste reference'!$B$7:$P$892,3,0)),"",VLOOKUP($A50,'liste reference'!$B$7:$P$892,3,0)),VLOOKUP($A50,'liste reference'!$A$7:$P$892,4,0)),"")</f>
        <v>0</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Leersia oryzoïdes</v>
      </c>
      <c r="L50" s="469"/>
      <c r="M50" s="469"/>
      <c r="N50" s="469"/>
      <c r="O50" s="454" t="str">
        <f aca="false">IF(AA50="Cf.","Cf.","")</f>
        <v/>
      </c>
      <c r="P50" s="454" t="n">
        <f aca="false">IF($A50="NEWCOD",IF($AC50="","No",$AC50),IF(ISTEXT($E50),"DEJA SAISI !",IF($A50="","",IF(ISERROR(VLOOKUP($A50,'liste reference'!A:S,19,FALSE())),IF(ISERROR(VLOOKUP($A50,'liste reference'!B:S,19,FALSE())),"",VLOOKUP($A50,'liste reference'!B:S,19,FALSE())),VLOOKUP($A50,'liste reference'!A:S,19,FALSE())))))</f>
        <v>1569</v>
      </c>
      <c r="Q50" s="455" t="n">
        <f aca="false">IF(ISTEXT(H50),"",(B50*$B$7/100)+(C50*$C$7/100))</f>
        <v>0.0022</v>
      </c>
      <c r="R50" s="456" t="n">
        <f aca="false">IF(OR(ISTEXT(H50),Q50=0),"",IF(Q50&lt;0.1,1,IF(Q50&lt;1,2,IF(Q50&lt;10,3,IF(Q50&lt;50,4,IF(Q50&gt;=50,5,""))))))</f>
        <v>1</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LEEORY</v>
      </c>
      <c r="Z50" s="250" t="n">
        <f aca="false">IF(ISERROR(MATCH(A50,'liste reference'!$A$7:$A$892,0)),IF(ISERROR(MATCH(A50,'liste reference'!$B$7:$B$892,0)),"",(MATCH(A50,'liste reference'!$B$7:$B$892,0))),(MATCH(A50,'liste reference'!$A$7:$A$892,0)))</f>
        <v>409</v>
      </c>
      <c r="AA50" s="460"/>
      <c r="AB50" s="461"/>
      <c r="AC50" s="461"/>
      <c r="BC50" s="250" t="n">
        <f aca="false">IF(A50="","",1)</f>
        <v>1</v>
      </c>
    </row>
    <row r="51" customFormat="false" ht="12.75" hidden="false" customHeight="false" outlineLevel="0" collapsed="false">
      <c r="A51" s="462" t="s">
        <v>1800</v>
      </c>
      <c r="B51" s="463" t="n">
        <v>0.005</v>
      </c>
      <c r="C51" s="464"/>
      <c r="D51" s="465" t="str">
        <f aca="false">IF(ISERROR(VLOOKUP($A51,'liste reference'!$A$7:$D$892,2,0)),IF(ISERROR(VLOOKUP($A51,'liste reference'!$B$7:$D$892,1,0)),"",VLOOKUP($A51,'liste reference'!$B$7:$D$892,1,0)),VLOOKUP($A51,'liste reference'!$A$7:$D$892,2,0))</f>
        <v>Polygonum lapathifolia</v>
      </c>
      <c r="E51" s="465" t="e">
        <f aca="false">IF(D51="",0,VLOOKUP(D51,D$22:D50,1,0))</f>
        <v>#N/A</v>
      </c>
      <c r="F51" s="471" t="n">
        <f aca="false">($B51*$B$7+$C51*$C$7)/100</f>
        <v>0.0022</v>
      </c>
      <c r="G51" s="467" t="str">
        <f aca="false">IF(A51="","",IF(ISERROR(VLOOKUP($A51,'liste reference'!$A$7:$P$892,13,0)),IF(ISERROR(VLOOKUP($A51,'liste reference'!$B$7:$P$892,12,0)),"    -",VLOOKUP($A51,'liste reference'!$B$7:$P$892,12,0)),VLOOKUP($A51,'liste reference'!$A$7:$P$892,13,0)))</f>
        <v>PHg</v>
      </c>
      <c r="H51" s="449" t="n">
        <f aca="false">IF(A51="","x",IF(ISERROR(VLOOKUP($A51,'liste reference'!$A$7:$P$892,14,0)),IF(ISERROR(VLOOKUP($A51,'liste reference'!$B$7:$P$892,13,0)),"x",VLOOKUP($A51,'liste reference'!$B$7:$P$892,13,0)),VLOOKUP($A51,'liste reference'!$A$7:$P$892,14,0)))</f>
        <v>9</v>
      </c>
      <c r="I51" s="468" t="n">
        <f aca="false">IF(ISNUMBER(H51),IF(ISERROR(VLOOKUP($A51,'liste reference'!$A$7:$P$892,3,0)),IF(ISERROR(VLOOKUP($A51,'liste reference'!$B$7:$P$892,2,0)),"",VLOOKUP($A51,'liste reference'!$B$7:$P$892,2,0)),VLOOKUP($A51,'liste reference'!$A$7:$P$892,3,0)),"")</f>
        <v>0</v>
      </c>
      <c r="J51" s="451" t="n">
        <f aca="false">IF(ISNUMBER(H51),IF(ISERROR(VLOOKUP($A51,'liste reference'!$A$7:$P$892,4,0)),IF(ISERROR(VLOOKUP($A51,'liste reference'!$B$7:$P$892,3,0)),"",VLOOKUP($A51,'liste reference'!$B$7:$P$892,3,0)),VLOOKUP($A51,'liste reference'!$A$7:$P$892,4,0)),"")</f>
        <v>0</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Polygonum lapathifolia</v>
      </c>
      <c r="L51" s="469"/>
      <c r="M51" s="469"/>
      <c r="N51" s="469"/>
      <c r="O51" s="454" t="str">
        <f aca="false">IF(AA51="Cf.","Cf.","")</f>
        <v>Cf.</v>
      </c>
      <c r="P51" s="454" t="n">
        <f aca="false">IF($A51="NEWCOD",IF($AC51="","No",$AC51),IF(ISTEXT($E51),"DEJA SAISI !",IF($A51="","",IF(ISERROR(VLOOKUP($A51,'liste reference'!A:S,19,FALSE())),IF(ISERROR(VLOOKUP($A51,'liste reference'!B:S,19,FALSE())),"",VLOOKUP($A51,'liste reference'!B:S,19,FALSE())),VLOOKUP($A51,'liste reference'!A:S,19,FALSE())))))</f>
        <v>1866</v>
      </c>
      <c r="Q51" s="455" t="n">
        <f aca="false">IF(ISTEXT(H51),"",(B51*$B$7/100)+(C51*$C$7/100))</f>
        <v>0.0022</v>
      </c>
      <c r="R51" s="456" t="n">
        <f aca="false">IF(OR(ISTEXT(H51),Q51=0),"",IF(Q51&lt;0.1,1,IF(Q51&lt;1,2,IF(Q51&lt;10,3,IF(Q51&lt;50,4,IF(Q51&gt;=50,5,""))))))</f>
        <v>1</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POLLAP</v>
      </c>
      <c r="Z51" s="250" t="n">
        <f aca="false">IF(ISERROR(MATCH(A51,'liste reference'!$A$7:$A$892,0)),IF(ISERROR(MATCH(A51,'liste reference'!$B$7:$B$892,0)),"",(MATCH(A51,'liste reference'!$B$7:$B$892,0))),(MATCH(A51,'liste reference'!$A$7:$A$892,0)))</f>
        <v>601</v>
      </c>
      <c r="AA51" s="460" t="s">
        <v>2684</v>
      </c>
      <c r="AB51" s="461"/>
      <c r="AC51" s="461"/>
      <c r="BC51" s="250" t="n">
        <f aca="false">IF(A51="","",1)</f>
        <v>1</v>
      </c>
    </row>
    <row r="52" customFormat="false" ht="12.75" hidden="false" customHeight="false" outlineLevel="0" collapsed="false">
      <c r="A52" s="462" t="s">
        <v>2321</v>
      </c>
      <c r="B52" s="463" t="n">
        <v>0.005</v>
      </c>
      <c r="C52" s="464"/>
      <c r="D52" s="465" t="str">
        <f aca="false">IF(ISERROR(VLOOKUP($A52,'liste reference'!$A$7:$D$892,2,0)),IF(ISERROR(VLOOKUP($A52,'liste reference'!$B$7:$D$892,1,0)),"",VLOOKUP($A52,'liste reference'!$B$7:$D$892,1,0)),VLOOKUP($A52,'liste reference'!$A$7:$D$892,2,0))</f>
        <v>Solanum dulcamara</v>
      </c>
      <c r="E52" s="465" t="e">
        <f aca="false">IF(D52="",0,VLOOKUP(D52,D$22:D44,1,0))</f>
        <v>#N/A</v>
      </c>
      <c r="F52" s="471" t="n">
        <f aca="false">($B52*$B$7+$C52*$C$7)/100</f>
        <v>0.0022</v>
      </c>
      <c r="G52" s="467" t="str">
        <f aca="false">IF(A52="","",IF(ISERROR(VLOOKUP($A52,'liste reference'!$A$7:$P$892,13,0)),IF(ISERROR(VLOOKUP($A52,'liste reference'!$B$7:$P$892,12,0)),"    -",VLOOKUP($A52,'liste reference'!$B$7:$P$892,12,0)),VLOOKUP($A52,'liste reference'!$A$7:$P$892,13,0)))</f>
        <v>PHg</v>
      </c>
      <c r="H52" s="449" t="n">
        <f aca="false">IF(A52="","x",IF(ISERROR(VLOOKUP($A52,'liste reference'!$A$7:$P$892,14,0)),IF(ISERROR(VLOOKUP($A52,'liste reference'!$B$7:$P$892,13,0)),"x",VLOOKUP($A52,'liste reference'!$B$7:$P$892,13,0)),VLOOKUP($A52,'liste reference'!$A$7:$P$892,14,0)))</f>
        <v>9</v>
      </c>
      <c r="I52" s="468" t="n">
        <f aca="false">IF(ISNUMBER(H52),IF(ISERROR(VLOOKUP($A52,'liste reference'!$A$7:$P$892,3,0)),IF(ISERROR(VLOOKUP($A52,'liste reference'!$B$7:$P$892,2,0)),"",VLOOKUP($A52,'liste reference'!$B$7:$P$892,2,0)),VLOOKUP($A52,'liste reference'!$A$7:$P$892,3,0)),"")</f>
        <v>0</v>
      </c>
      <c r="J52" s="451" t="n">
        <f aca="false">IF(ISNUMBER(H52),IF(ISERROR(VLOOKUP($A52,'liste reference'!$A$7:$P$892,4,0)),IF(ISERROR(VLOOKUP($A52,'liste reference'!$B$7:$P$892,3,0)),"",VLOOKUP($A52,'liste reference'!$B$7:$P$892,3,0)),VLOOKUP($A52,'liste reference'!$A$7:$P$892,4,0)),"")</f>
        <v>0</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Solanum dulcamara</v>
      </c>
      <c r="L52" s="469"/>
      <c r="M52" s="469"/>
      <c r="N52" s="469"/>
      <c r="O52" s="454" t="str">
        <f aca="false">IF(AA52="Cf.","Cf.","")</f>
        <v/>
      </c>
      <c r="P52" s="454" t="n">
        <f aca="false">IF($A52="NEWCOD",IF($AC52="","No",$AC52),IF(ISTEXT($E52),"DEJA SAISI !",IF($A52="","",IF(ISERROR(VLOOKUP($A52,'liste reference'!A:S,19,FALSE())),IF(ISERROR(VLOOKUP($A52,'liste reference'!B:S,19,FALSE())),"",VLOOKUP($A52,'liste reference'!B:S,19,FALSE())),VLOOKUP($A52,'liste reference'!A:S,19,FALSE())))))</f>
        <v>1964</v>
      </c>
      <c r="Q52" s="455" t="n">
        <f aca="false">IF(ISTEXT(H52),"",(B52*$B$7/100)+(C52*$C$7/100))</f>
        <v>0.0022</v>
      </c>
      <c r="R52" s="456" t="n">
        <f aca="false">IF(OR(ISTEXT(H52),Q52=0),"",IF(Q52&lt;0.1,1,IF(Q52&lt;1,2,IF(Q52&lt;10,3,IF(Q52&lt;50,4,IF(Q52&gt;=50,5,""))))))</f>
        <v>1</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SOADUL</v>
      </c>
      <c r="Z52" s="250" t="n">
        <f aca="false">IF(ISERROR(MATCH(A52,'liste reference'!$A$7:$A$892,0)),IF(ISERROR(MATCH(A52,'liste reference'!$B$7:$B$892,0)),"",(MATCH(A52,'liste reference'!$B$7:$B$892,0))),(MATCH(A52,'liste reference'!$A$7:$A$892,0)))</f>
        <v>788</v>
      </c>
      <c r="AA52" s="460"/>
      <c r="AB52" s="461"/>
      <c r="AC52" s="461"/>
      <c r="BC52" s="250" t="n">
        <f aca="false">IF(A52="","",1)</f>
        <v>1</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3"/>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2685</v>
      </c>
      <c r="B62" s="463" t="n">
        <v>0.65</v>
      </c>
      <c r="C62" s="464" t="n">
        <v>0.1</v>
      </c>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0.342</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Paspalum distichum</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2686</v>
      </c>
      <c r="AC62" s="461"/>
      <c r="BC62" s="250" t="n">
        <f aca="false">IF(A62="","",1)</f>
        <v>1</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0.0022</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Gomphoneis sp</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RIZZANESE</v>
      </c>
      <c r="B84" s="493" t="str">
        <f aca="false">C3</f>
        <v>Arbellara (Sartène)</v>
      </c>
      <c r="C84" s="494" t="n">
        <f aca="false">A4</f>
        <v>41079</v>
      </c>
      <c r="D84" s="495" t="n">
        <f aca="false">IF(ISERROR(SUM($T$23:$T$82)/SUM($U$23:$U$82)),"",SUM($T$23:$T$82)/SUM($U$23:$U$82))</f>
        <v>11.9803921568627</v>
      </c>
      <c r="E84" s="496" t="n">
        <f aca="false">N13</f>
        <v>32</v>
      </c>
      <c r="F84" s="493" t="n">
        <f aca="false">N14</f>
        <v>30</v>
      </c>
      <c r="G84" s="493" t="n">
        <f aca="false">N15</f>
        <v>10</v>
      </c>
      <c r="H84" s="493" t="n">
        <f aca="false">N16</f>
        <v>10</v>
      </c>
      <c r="I84" s="493" t="n">
        <f aca="false">N17</f>
        <v>1</v>
      </c>
      <c r="J84" s="497" t="n">
        <f aca="false">N8</f>
        <v>7.96666666666667</v>
      </c>
      <c r="K84" s="495" t="n">
        <f aca="false">N9</f>
        <v>5.62312548587394</v>
      </c>
      <c r="L84" s="496" t="n">
        <f aca="false">N10</f>
        <v>0</v>
      </c>
      <c r="M84" s="496" t="n">
        <f aca="false">N11</f>
        <v>15</v>
      </c>
      <c r="N84" s="495" t="n">
        <f aca="false">O8</f>
        <v>1.1</v>
      </c>
      <c r="O84" s="495" t="n">
        <f aca="false">O9</f>
        <v>0.884736469627909</v>
      </c>
      <c r="P84" s="496" t="n">
        <f aca="false">O10</f>
        <v>0</v>
      </c>
      <c r="Q84" s="496" t="n">
        <f aca="false">O11</f>
        <v>3</v>
      </c>
      <c r="R84" s="496" t="n">
        <f aca="false">F21</f>
        <v>48.176</v>
      </c>
      <c r="S84" s="496" t="n">
        <f aca="false">K11</f>
        <v>0</v>
      </c>
      <c r="T84" s="496" t="n">
        <f aca="false">K12</f>
        <v>10</v>
      </c>
      <c r="U84" s="496" t="n">
        <f aca="false">K13</f>
        <v>4</v>
      </c>
      <c r="V84" s="498" t="n">
        <f aca="false">K14</f>
        <v>2</v>
      </c>
      <c r="W84" s="499" t="n">
        <f aca="false">K15</f>
        <v>14</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40</v>
      </c>
      <c r="T87" s="250"/>
      <c r="U87" s="250"/>
      <c r="V87" s="250"/>
    </row>
    <row r="88" customFormat="false" ht="12.75" hidden="true" customHeight="false" outlineLevel="0" collapsed="false">
      <c r="P88" s="250"/>
      <c r="Q88" s="250" t="s">
        <v>2691</v>
      </c>
      <c r="R88" s="250"/>
      <c r="S88" s="457" t="n">
        <f aca="false">VLOOKUP((S87),($S$23:$U$82),2,0)</f>
        <v>40</v>
      </c>
      <c r="T88" s="250"/>
      <c r="U88" s="250"/>
      <c r="V88" s="250"/>
    </row>
    <row r="89" customFormat="false" ht="12.75" hidden="false" customHeight="false" outlineLevel="0" collapsed="false">
      <c r="Q89" s="250" t="s">
        <v>2692</v>
      </c>
      <c r="R89" s="250"/>
      <c r="S89" s="457" t="n">
        <f aca="false">VLOOKUP((S87),($S$23:$U$82),3,0)</f>
        <v>4</v>
      </c>
      <c r="T89" s="250"/>
    </row>
    <row r="90" customFormat="false" ht="12.75" hidden="false" customHeight="false" outlineLevel="0" collapsed="false">
      <c r="Q90" s="250" t="s">
        <v>2693</v>
      </c>
      <c r="R90" s="250"/>
      <c r="S90" s="502" t="n">
        <f aca="false">IF(ISERROR(SUM($T$23:$T$82)/SUM($U$23:$U$82)),"",(SUM($T$23:$T$82)-S88)/(SUM($U$23:$U$82)-S89))</f>
        <v>12.1489361702128</v>
      </c>
      <c r="T90" s="250"/>
    </row>
    <row r="91" customFormat="false" ht="12.75" hidden="false" customHeight="false" outlineLevel="0" collapsed="false">
      <c r="Q91" s="456" t="s">
        <v>2694</v>
      </c>
      <c r="R91" s="456"/>
      <c r="S91" s="456" t="str">
        <f aca="false">INDEX('liste reference'!$A$7:$A$892,$T$91)</f>
        <v>MELSPX</v>
      </c>
      <c r="T91" s="250" t="n">
        <f aca="false">IF(ISERROR(MATCH($S$93,'liste reference'!$A$7:$A$892,0)),MATCH($S$93,'liste reference'!$B$7:$B$892,0),(MATCH($S$93,'liste reference'!$A$7:$A$892,0)))</f>
        <v>457</v>
      </c>
      <c r="U91" s="491"/>
    </row>
    <row r="92" customFormat="false" ht="12.75" hidden="false" customHeight="false" outlineLevel="0" collapsed="false">
      <c r="Q92" s="250" t="s">
        <v>2695</v>
      </c>
      <c r="R92" s="250"/>
      <c r="S92" s="250" t="n">
        <f aca="false">MATCH(S87,$S$23:$S$82,0)</f>
        <v>6</v>
      </c>
      <c r="T92" s="250"/>
    </row>
    <row r="93" customFormat="false" ht="12.75" hidden="false" customHeight="false" outlineLevel="0" collapsed="false">
      <c r="Q93" s="456" t="s">
        <v>2696</v>
      </c>
      <c r="R93" s="250"/>
      <c r="S93" s="456" t="str">
        <f aca="false">INDEX($A$23:$A$82,$S$92)</f>
        <v>MELSPX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2716</v>
      </c>
      <c r="G17" s="541"/>
      <c r="H17" s="540" t="s">
        <v>2716</v>
      </c>
      <c r="I17" s="542"/>
    </row>
    <row r="18" customFormat="false" ht="12.75" hidden="false" customHeight="false" outlineLevel="0" collapsed="false">
      <c r="A18" s="529" t="s">
        <v>78</v>
      </c>
      <c r="B18" s="530" t="s">
        <v>2717</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2013-02-08T13:18:36Z</dcterms:modified>
  <cp:revision>0</cp:revision>
  <dc:subject/>
  <dc:title>Feuille d'aide au calcul de l'IBMR</dc:title>
</cp:coreProperties>
</file>