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195 TRAVO" sheetId="6" state="visible" r:id="rId8"/>
    <sheet name="modele" sheetId="7" state="hidden" r:id="rId9"/>
    <sheet name="liste codes réf" sheetId="8" state="hidden" r:id="rId10"/>
  </sheets>
  <definedNames>
    <definedName function="false" hidden="false" localSheetId="5" name="_xlnm.Print_Area" vbProcedure="false">'06222195 TRAVO'!$A$1:$O$82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'06222195 TRAVO'!$A$23:$J$84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<sst xmlns="http://schemas.openxmlformats.org/spreadsheetml/2006/main" count="7363" uniqueCount="2731">
  <si>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</si>
  <si>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</si>
  <si>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</si>
  <si>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</si>
  <si>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</si>
  <si>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</si>
  <si>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</si>
  <si>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</si>
  <si>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</si>
  <si>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</si>
  <si>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</si>
  <si>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</si>
  <si>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</si>
  <si>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</si>
  <si>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</si>
  <si>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</si>
  <si>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</si>
  <si>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</si>
  <si>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</si>
  <si>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</si>
  <si>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</si>
  <si>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</si>
  <si>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</si>
  <si>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</si>
  <si>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</si>
  <si>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</si>
  <si>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</si>
  <si>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</si>
  <si>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</si>
  <si>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</si>
  <si>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</si>
  <si>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</si>
  <si>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</si>
  <si>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</si>
  <si>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</si>
  <si>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</si>
  <si>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</si>
  <si>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</si>
  <si>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</si>
  <si>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</si>
  <si>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</si>
  <si>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</si>
  <si>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</si>
  <si>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</si>
  <si>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</si>
  <si>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</si>
  <si>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</si>
  <si>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</si>
  <si>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</si>
  <si>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</si>
  <si>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</si>
  <si>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</si>
  <si>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</si>
  <si>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</si>
  <si>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</si>
  <si>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</si>
  <si>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</si>
  <si>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</si>
  <si>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</si>
  <si>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</si>
  <si>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</si>
  <si>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</si>
  <si>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</si>
  <si>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</si>
  <si>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</si>
  <si>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</si>
  <si>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</si>
  <si>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</si>
  <si>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</si>
  <si>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</si>
  <si>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</si>
  <si>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</si>
  <si>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</si>
  <si>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</si>
  <si>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</si>
  <si>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</si>
  <si>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</si>
  <si>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</si>
  <si>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</si>
  <si>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</si>
  <si>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</si>
  <si>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</si>
  <si>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</si>
  <si>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</si>
  <si>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</si>
  <si>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</si>
  <si>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</si>
  <si>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</si>
  <si>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</si>
  <si>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</si>
  <si>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</si>
  <si>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</si>
  <si>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</si>
  <si>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</si>
  <si>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</si>
  <si>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</si>
  <si>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</si>
  <si>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</si>
  <si>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</si>
  <si>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</si>
  <si>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</si>
  <si>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</si>
  <si>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</si>
  <si>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</si>
  <si>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</si>
  <si>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</si>
  <si>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</si>
  <si>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</si>
  <si>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</si>
  <si>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</si>
  <si>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</si>
  <si>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</si>
  <si>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</si>
  <si>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</si>
  <si>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</si>
  <si>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</si>
  <si>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</si>
  <si>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</si>
  <si>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</si>
  <si>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</si>
  <si>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</si>
  <si>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</si>
  <si>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</si>
  <si>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</si>
  <si>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</si>
  <si>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</si>
  <si>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</si>
  <si>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</si>
  <si>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</si>
  <si>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</si>
  <si>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</si>
  <si>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</si>
  <si>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</si>
  <si>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</si>
  <si>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</si>
  <si>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</si>
  <si>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</si>
  <si>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</si>
  <si>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</si>
  <si>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</si>
  <si>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</si>
  <si>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</si>
  <si>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</si>
  <si>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</si>
  <si>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</si>
  <si>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</si>
  <si>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</si>
  <si>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</si>
  <si>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</si>
  <si>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</si>
  <si>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</si>
  <si>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</si>
  <si>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</si>
  <si>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</si>
  <si>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</si>
  <si>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</si>
  <si>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</si>
  <si>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</si>
  <si>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</si>
  <si>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</si>
  <si>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</si>
  <si>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</si>
  <si>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</si>
  <si>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</si>
  <si>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</si>
  <si>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</si>
  <si>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</si>
  <si>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</si>
  <si>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</si>
  <si>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</si>
  <si>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</si>
  <si>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</si>
  <si>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</si>
  <si>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</si>
  <si>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</si>
  <si>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</si>
  <si>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</si>
  <si>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</si>
  <si>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</si>
  <si>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</si>
  <si>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</si>
  <si>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</si>
  <si>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</si>
  <si>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</si>
  <si>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</si>
  <si>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</si>
  <si>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</si>
  <si>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</si>
  <si>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</si>
  <si>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</si>
  <si>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</si>
  <si>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</si>
  <si>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</si>
  <si>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</si>
  <si>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</si>
  <si>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</si>
  <si>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</si>
  <si>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</si>
  <si>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</si>
  <si>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</si>
  <si>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</si>
  <si>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</si>
  <si>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</si>
  <si>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</si>
  <si>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</si>
  <si>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</si>
  <si>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</si>
  <si>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</si>
  <si>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</si>
  <si>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</si>
  <si>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</si>
  <si>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</si>
  <si>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</si>
  <si>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</si>
  <si>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</si>
  <si>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</si>
  <si>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</si>
  <si>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</si>
  <si>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</si>
  <si>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</si>
  <si>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</si>
  <si>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</si>
  <si>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</si>
  <si>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</si>
  <si>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</si>
  <si>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</si>
  <si>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</si>
  <si>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</si>
  <si>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</si>
  <si>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</si>
  <si>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</si>
  <si>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</si>
  <si>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</si>
  <si>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</si>
  <si>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</si>
  <si>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</si>
  <si>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</si>
  <si>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</si>
  <si>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</si>
  <si>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</si>
  <si>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</si>
  <si>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</si>
  <si>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</si>
  <si>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</si>
  <si>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</si>
  <si>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</si>
  <si>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</si>
  <si>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</si>
  <si>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</si>
  <si>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</si>
  <si>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</si>
  <si>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</si>
  <si>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</si>
  <si>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</si>
  <si>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</si>
  <si>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</si>
  <si>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</si>
  <si>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</si>
  <si>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</si>
  <si>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</si>
  <si>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</si>
  <si>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</si>
  <si>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</si>
  <si>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</si>
  <si>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</si>
  <si>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</si>
  <si>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</si>
  <si>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</si>
  <si>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</si>
  <si>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</si>
  <si>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</si>
  <si>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</si>
  <si>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</si>
  <si>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</si>
  <si>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</si>
  <si>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</si>
  <si>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</si>
  <si>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</si>
  <si>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</si>
  <si>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</si>
  <si>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</si>
  <si>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</si>
  <si>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</si>
  <si>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</si>
  <si>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</si>
  <si>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</si>
  <si>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</si>
  <si>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</si>
  <si>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</si>
  <si>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</si>
  <si>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</si>
  <si>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</si>
  <si>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</si>
  <si>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</si>
  <si>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</si>
  <si>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</si>
  <si>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</si>
  <si>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</si>
  <si>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</si>
  <si>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</si>
  <si>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</si>
  <si>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</si>
  <si>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</si>
  <si>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</si>
  <si>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</si>
  <si>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</si>
  <si>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</si>
  <si>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</si>
  <si>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</si>
  <si>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</si>
  <si>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</si>
  <si>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</si>
  <si>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</si>
  <si>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</si>
  <si>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</si>
  <si>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</si>
  <si>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</si>
  <si>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</si>
  <si>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</si>
  <si>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</si>
  <si>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</si>
  <si>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</si>
  <si>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</si>
  <si>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</si>
  <si>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</si>
  <si>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</si>
  <si>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</si>
  <si>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</si>
  <si>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</si>
  <si>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</si>
  <si>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</si>
  <si>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</si>
  <si>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</si>
  <si>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</si>
  <si>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</si>
  <si>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</si>
  <si>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</si>
  <si>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</si>
  <si>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</si>
  <si>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</si>
  <si>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</si>
  <si>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</si>
  <si>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</si>
  <si>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</si>
  <si>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</si>
  <si>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</si>
  <si>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</si>
  <si>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</si>
  <si>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</si>
  <si>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</si>
  <si>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</si>
  <si>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</si>
  <si>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</si>
  <si>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</si>
  <si>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</si>
  <si>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</si>
  <si>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</si>
  <si>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</si>
  <si>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</si>
  <si>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</si>
  <si>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</si>
  <si>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</si>
  <si>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</si>
  <si>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</si>
  <si>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</si>
  <si>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</si>
  <si>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</si>
  <si>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</si>
  <si>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</si>
  <si>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</si>
  <si>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</si>
  <si>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</si>
  <si>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</si>
  <si>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</si>
  <si>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</si>
  <si>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</si>
  <si>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</si>
  <si>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</si>
  <si>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</si>
  <si>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</si>
  <si>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</si>
  <si>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</si>
  <si>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</si>
  <si>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</si>
  <si>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</si>
  <si>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</si>
  <si>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</si>
  <si>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</si>
  <si>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</si>
  <si>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</si>
  <si>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</si>
  <si>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</si>
  <si>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</si>
  <si>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</si>
  <si>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</si>
  <si>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</si>
  <si>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</si>
  <si>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</si>
  <si>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</si>
  <si>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</si>
  <si>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</si>
  <si>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</si>
  <si>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</si>
  <si>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</si>
  <si>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</si>
  <si>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</si>
  <si>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</si>
  <si>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</si>
  <si>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</si>
  <si>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</si>
  <si>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</si>
  <si>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</si>
  <si>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</si>
  <si>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</si>
  <si>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</si>
  <si>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</si>
  <si>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</si>
  <si>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</si>
  <si>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</si>
  <si>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</si>
  <si>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</si>
  <si>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</si>
  <si>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</si>
  <si>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</si>
  <si>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</si>
  <si>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</si>
  <si>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</si>
  <si>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</si>
  <si>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</si>
  <si>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</si>
  <si>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</si>
  <si>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</si>
  <si>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</si>
  <si>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</si>
  <si>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</si>
  <si>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</si>
  <si>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</si>
  <si>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</si>
  <si>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</si>
  <si>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</si>
  <si>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</si>
  <si>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</si>
  <si>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</si>
  <si>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</si>
  <si>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</si>
  <si>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</si>
  <si>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</si>
  <si>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</si>
  <si>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</si>
  <si>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</si>
  <si>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</si>
  <si>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</si>
  <si>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</si>
  <si>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</si>
  <si>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</si>
  <si>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</si>
  <si>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</si>
  <si>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</si>
  <si>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</si>
  <si>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</si>
  <si>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</si>
  <si>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</si>
  <si>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</si>
  <si>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</si>
  <si>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</si>
  <si>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</si>
  <si>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</si>
  <si>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</si>
  <si>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</si>
  <si>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</si>
  <si>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</si>
  <si>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</si>
  <si>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</si>
  <si>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</si>
  <si>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</si>
  <si>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</si>
  <si>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</si>
  <si>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</si>
  <si>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</si>
  <si>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</si>
  <si>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</si>
  <si>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</si>
  <si>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</si>
  <si>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</si>
  <si>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</si>
  <si>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</si>
  <si>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</si>
  <si>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</si>
  <si>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</si>
  <si>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</si>
  <si>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</si>
  <si>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</si>
  <si>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</si>
  <si>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</si>
  <si>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</si>
  <si>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</si>
  <si>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</si>
  <si>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</si>
  <si>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</si>
  <si>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</si>
  <si>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</si>
  <si>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</si>
  <si>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</si>
  <si>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</si>
  <si>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</si>
  <si>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</si>
  <si>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</si>
  <si>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</si>
  <si>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</si>
  <si>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</si>
  <si>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</si>
  <si>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</si>
  <si>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</si>
  <si>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</si>
  <si>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</si>
  <si>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</si>
  <si>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</si>
  <si>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</si>
  <si>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</si>
  <si>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</si>
  <si>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</si>
  <si>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</si>
  <si>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</si>
  <si>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</si>
  <si>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</si>
  <si>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</si>
  <si>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</si>
  <si>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</si>
  <si>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</si>
  <si>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</si>
  <si>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</si>
  <si>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</si>
  <si>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</si>
  <si>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</si>
  <si>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</si>
  <si>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</si>
  <si>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</si>
  <si>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</si>
  <si>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</si>
  <si>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</si>
  <si>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</si>
  <si>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</si>
  <si>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</si>
  <si>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</si>
  <si>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</si>
  <si>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</si>
  <si>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</si>
  <si>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</si>
  <si>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</si>
  <si>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</si>
  <si>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</si>
  <si>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</si>
  <si>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</si>
  <si>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</si>
  <si>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</si>
  <si>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</si>
  <si>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</si>
  <si>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</si>
  <si>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</si>
  <si>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</si>
  <si>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</si>
  <si>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</si>
  <si>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</si>
  <si>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</si>
  <si>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</si>
  <si>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</si>
  <si>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</si>
  <si>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</si>
  <si>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</si>
  <si>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</si>
  <si>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</si>
  <si>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</si>
  <si>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</si>
  <si>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</si>
  <si>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</si>
  <si>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</si>
  <si>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</si>
  <si>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</si>
  <si>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</si>
  <si>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</si>
  <si>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</si>
  <si>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</si>
  <si>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</si>
  <si>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</si>
  <si>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</si>
  <si>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</si>
  <si>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</si>
  <si>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</si>
  <si>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</si>
  <si>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</si>
  <si>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</si>
  <si>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</si>
  <si>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</si>
  <si>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</si>
  <si>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</si>
  <si>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</si>
  <si>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</si>
  <si>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</si>
  <si>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</si>
  <si>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</si>
  <si>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</si>
  <si>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</si>
  <si>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</si>
  <si>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</si>
  <si>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</si>
  <si>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</si>
  <si>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</si>
  <si>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</si>
  <si>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</si>
  <si>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</si>
  <si>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</si>
  <si>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</si>
  <si>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</si>
  <si>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</si>
  <si>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</si>
  <si>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</si>
  <si>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</si>
  <si>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</si>
  <si>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</si>
  <si>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</si>
  <si>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</si>
  <si>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</si>
  <si>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</si>
  <si>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</si>
  <si>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</si>
  <si>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</si>
  <si>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</si>
  <si>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</si>
  <si>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</si>
  <si>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</si>
  <si>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</si>
  <si>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</si>
  <si>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</si>
  <si>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</si>
  <si>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</si>
  <si>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</si>
  <si>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</si>
  <si>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</si>
  <si>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</si>
  <si>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</si>
  <si>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</si>
  <si>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</si>
  <si>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</si>
  <si>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</si>
  <si>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</si>
  <si>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</si>
  <si>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</si>
  <si>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</si>
  <si>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</si>
  <si>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</si>
  <si>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</si>
  <si>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</si>
  <si>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</si>
  <si>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</si>
  <si>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</si>
  <si>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</si>
  <si>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</si>
  <si>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</si>
  <si>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</si>
  <si>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</si>
  <si>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</si>
  <si>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</si>
  <si>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</si>
  <si>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</si>
  <si>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</si>
  <si>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</si>
  <si>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</si>
  <si>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</si>
  <si>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</si>
  <si>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</si>
  <si>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</si>
  <si>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</si>
  <si>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</si>
  <si>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</si>
  <si>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</si>
  <si>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</si>
  <si>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</si>
  <si>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</si>
  <si>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</si>
  <si>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</si>
  <si>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</si>
  <si>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</si>
  <si>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</si>
  <si>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</si>
  <si>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</si>
  <si>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</si>
  <si>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</si>
  <si>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</si>
  <si>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</si>
  <si>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</si>
  <si>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</si>
  <si>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</si>
  <si>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</si>
  <si>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</si>
  <si>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</si>
  <si>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</si>
  <si>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</si>
  <si>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</si>
  <si>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</si>
  <si>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</si>
  <si>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</si>
  <si>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</si>
  <si>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</si>
  <si>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</si>
  <si>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</si>
  <si>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</si>
  <si>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</si>
  <si>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</si>
  <si>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</si>
  <si>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</si>
  <si>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</si>
  <si>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</si>
  <si>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</si>
  <si>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</si>
  <si>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</si>
  <si>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</si>
  <si>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</si>
  <si>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</si>
  <si>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</si>
  <si>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</si>
  <si>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</si>
  <si>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</si>
  <si>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</si>
  <si>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</si>
  <si>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</si>
  <si>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</si>
  <si>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</si>
  <si>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</si>
  <si>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</si>
  <si>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</si>
  <si>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</si>
  <si>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</si>
  <si>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</si>
  <si>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</si>
  <si>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</si>
  <si>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</si>
  <si>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</si>
  <si>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</si>
  <si>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</si>
  <si>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</si>
  <si>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</si>
  <si>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</si>
  <si>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</si>
  <si>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</si>
  <si>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</si>
  <si>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</si>
  <si>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</si>
  <si>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</si>
  <si>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</si>
  <si>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</si>
  <si>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</si>
  <si>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</si>
  <si>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</si>
  <si>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</si>
  <si>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</si>
  <si>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</si>
  <si>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</si>
  <si>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</si>
  <si>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</si>
  <si>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</si>
  <si>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</si>
  <si>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</si>
  <si>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</si>
  <si>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</si>
  <si>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</si>
  <si>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</si>
  <si>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</si>
  <si>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</si>
  <si>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</si>
  <si>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</si>
  <si>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</si>
  <si>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</si>
  <si>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</si>
  <si>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</si>
  <si>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</si>
  <si>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</si>
  <si>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</si>
  <si>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</si>
  <si>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</si>
  <si>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</si>
  <si>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</si>
  <si>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</si>
  <si>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</si>
  <si>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</si>
  <si>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</si>
  <si>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</si>
  <si>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</si>
  <si>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</si>
  <si>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</si>
  <si>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</si>
  <si>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</si>
  <si>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</si>
  <si>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</si>
  <si>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</si>
  <si>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</si>
  <si>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</si>
  <si>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</si>
  <si>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</si>
  <si>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</si>
  <si>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</si>
  <si>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</si>
  <si>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</si>
  <si>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</si>
  <si>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</si>
  <si>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</si>
  <si>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</si>
  <si>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</si>
  <si>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</si>
  <si>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</si>
  <si>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</si>
  <si>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</si>
  <si>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</si>
  <si>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</si>
  <si>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</si>
  <si>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</si>
  <si>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</si>
  <si>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</si>
  <si>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</si>
  <si>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</si>
  <si>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</si>
  <si>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</si>
  <si>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</si>
  <si>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</si>
  <si>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</si>
  <si>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</si>
  <si>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</si>
  <si>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</si>
  <si>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</si>
  <si>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</si>
  <si>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</si>
  <si>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</si>
  <si>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</si>
  <si>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</si>
  <si>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</si>
  <si>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</si>
  <si>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</si>
  <si>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</si>
  <si>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</si>
  <si>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</si>
  <si>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</si>
  <si>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</si>
  <si>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</si>
  <si>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</si>
  <si>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</si>
  <si>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</si>
  <si>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</si>
  <si>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</si>
  <si>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</si>
  <si>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</si>
  <si>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</si>
  <si>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</si>
  <si>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</si>
  <si>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</si>
  <si>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</si>
  <si>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</si>
  <si>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</si>
  <si>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</si>
  <si>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</si>
  <si>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</si>
  <si>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</si>
  <si>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</si>
  <si>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</si>
  <si>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</si>
  <si>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</si>
  <si>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</si>
  <si>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</si>
  <si>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</si>
  <si>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</si>
  <si>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</si>
  <si>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</si>
  <si>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</si>
  <si>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</si>
  <si>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</si>
  <si>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</si>
  <si>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</si>
  <si>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</si>
  <si>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</si>
  <si>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</si>
  <si>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</si>
  <si>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</si>
  <si>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</si>
  <si>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</si>
  <si>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</si>
  <si>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</si>
  <si>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</si>
  <si>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</si>
  <si>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</si>
  <si>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</si>
  <si>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</si>
  <si>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</si>
  <si>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</si>
  <si>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</si>
  <si>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</si>
  <si>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</si>
  <si>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</si>
  <si>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</si>
  <si>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</si>
  <si>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</si>
  <si>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</si>
  <si>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</si>
  <si>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</si>
  <si>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</si>
  <si>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</si>
  <si>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</si>
  <si>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</si>
  <si>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</si>
  <si>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</si>
  <si>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</si>
  <si>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</si>
  <si>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</si>
  <si>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</si>
  <si>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</si>
  <si>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</si>
  <si>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</si>
  <si>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</si>
  <si>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</si>
  <si>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</si>
  <si>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</si>
  <si>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</si>
  <si>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</si>
  <si>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</si>
  <si>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</si>
  <si>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</si>
  <si>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</si>
  <si>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</si>
  <si>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</si>
  <si>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</si>
  <si>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</si>
  <si>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</si>
  <si>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</si>
  <si>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</si>
  <si>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</si>
  <si>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</si>
  <si>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</si>
  <si>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</si>
  <si>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</si>
  <si>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</si>
  <si>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</si>
  <si>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</si>
  <si>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</si>
  <si>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</si>
  <si>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</si>
  <si>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</si>
  <si>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</si>
  <si>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</si>
  <si>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</si>
  <si>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</si>
  <si>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</si>
  <si>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</si>
  <si>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</si>
  <si>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</si>
  <si>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</si>
  <si>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</si>
  <si>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</si>
  <si>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</si>
  <si>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</si>
  <si>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</si>
  <si>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</si>
  <si>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</si>
  <si>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</si>
  <si>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</si>
  <si>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</si>
  <si>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</si>
  <si>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</si>
  <si>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</si>
  <si>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</si>
  <si>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</si>
  <si>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</si>
  <si>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</si>
  <si>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</si>
  <si>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</si>
  <si>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</si>
  <si>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</si>
  <si>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</si>
  <si>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</si>
  <si>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</si>
  <si>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</si>
  <si>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</si>
  <si>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</si>
  <si>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</si>
  <si>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</si>
  <si>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</si>
  <si>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</si>
  <si>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</si>
  <si>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</si>
  <si>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</si>
  <si>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</si>
  <si>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</si>
  <si>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</si>
  <si>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</si>
  <si>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</si>
  <si>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</si>
  <si>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</si>
  <si>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</si>
  <si>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</si>
  <si>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</si>
  <si>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</si>
  <si>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</si>
  <si>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</si>
  <si>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</si>
  <si>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</si>
  <si>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</si>
  <si>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</si>
  <si>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</si>
  <si>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</si>
  <si>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</si>
  <si>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</si>
  <si>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</si>
  <si>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</si>
  <si>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</si>
  <si>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</si>
  <si>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</si>
  <si>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</si>
  <si>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</si>
  <si>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</si>
  <si>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</si>
  <si>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</si>
  <si>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</si>
  <si>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</si>
  <si>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</si>
  <si>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</si>
  <si>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</si>
  <si>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</si>
  <si>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</si>
  <si>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</si>
  <si>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</si>
  <si>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</si>
  <si>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</si>
  <si>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</si>
  <si>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</si>
  <si>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</si>
  <si>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</si>
  <si>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</si>
  <si>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</si>
  <si>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</si>
  <si>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</si>
  <si>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</si>
  <si>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</si>
  <si>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</si>
  <si>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</si>
  <si>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</si>
  <si>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</si>
  <si>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</si>
  <si>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</si>
  <si>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</si>
  <si>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</si>
  <si>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</si>
  <si>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</si>
  <si>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</si>
  <si>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</si>
  <si>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</si>
  <si>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</si>
  <si>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</si>
  <si>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</si>
  <si>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</si>
  <si>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</si>
  <si>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</si>
  <si>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</si>
  <si>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</si>
  <si>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</si>
  <si>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</si>
  <si>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</si>
  <si>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</si>
  <si>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</si>
  <si>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</si>
  <si>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</si>
  <si>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</si>
  <si>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</si>
  <si>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</si>
  <si>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</si>
  <si>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</si>
  <si>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</si>
  <si>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</si>
  <si>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</si>
  <si>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</si>
  <si>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</si>
  <si>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</si>
  <si>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</si>
  <si>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</si>
  <si>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</si>
  <si>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</si>
  <si>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</si>
  <si>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</si>
  <si>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</si>
  <si>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</si>
  <si>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</si>
  <si>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</si>
  <si>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</si>
  <si>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</si>
  <si>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</si>
  <si>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</si>
  <si>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</si>
  <si>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</si>
  <si>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</si>
  <si>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</si>
  <si>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</si>
  <si>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</si>
  <si>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</si>
  <si>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</si>
  <si>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</si>
  <si>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</si>
  <si>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</si>
  <si>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</si>
  <si>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</si>
  <si>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</si>
  <si>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</si>
  <si>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</si>
  <si>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</si>
  <si>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</si>
  <si>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</si>
  <si>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</si>
  <si>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</si>
  <si>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</si>
  <si>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</si>
  <si>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</si>
  <si>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</si>
  <si>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</si>
  <si>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</si>
  <si>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</si>
  <si>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</si>
  <si>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</si>
  <si>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</si>
  <si>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</si>
  <si>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</si>
  <si>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</si>
  <si>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</si>
  <si>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</si>
  <si>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</si>
  <si>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</si>
  <si>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</si>
  <si>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</si>
  <si>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</si>
  <si>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</si>
  <si>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</si>
  <si>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</si>
  <si>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</si>
  <si>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</si>
  <si>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</si>
  <si>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</si>
  <si>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</si>
  <si>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</si>
  <si>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</si>
  <si>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</si>
  <si>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</si>
  <si>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</si>
  <si>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</si>
  <si>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</si>
  <si>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</si>
  <si>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</si>
  <si>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</si>
  <si>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</si>
  <si>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</si>
  <si>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</si>
  <si>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</si>
  <si>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</si>
  <si>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</si>
  <si>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</si>
  <si>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</si>
  <si>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</si>
  <si>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</si>
  <si>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</si>
  <si>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</si>
  <si>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</si>
  <si>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</si>
  <si>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</si>
  <si>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</si>
  <si>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</si>
  <si>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</si>
  <si>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</si>
  <si>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</si>
  <si>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</si>
  <si>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</si>
  <si>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</si>
  <si>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</si>
  <si>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</si>
  <si>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</si>
  <si>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</si>
  <si>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</si>
  <si>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</si>
  <si>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</si>
  <si>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</si>
  <si>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</si>
  <si>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</si>
  <si>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</si>
  <si>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</si>
  <si>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</si>
  <si>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</si>
  <si>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</si>
  <si>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</si>
  <si>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</si>
  <si>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</si>
  <si>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</si>
  <si>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</si>
  <si>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</si>
  <si>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</si>
  <si>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</si>
  <si>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</si>
  <si>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</si>
  <si>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</si>
  <si>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</si>
  <si>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</si>
  <si>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</si>
  <si>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</si>
  <si>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</si>
  <si>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</si>
  <si>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</si>
  <si>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</si>
  <si>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</si>
  <si>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</si>
  <si>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</si>
  <si>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</si>
  <si>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</si>
  <si>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</si>
  <si>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</si>
  <si>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</si>
  <si>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</si>
  <si>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</si>
  <si>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</si>
  <si>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</si>
  <si>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</si>
  <si>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</si>
  <si>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</si>
  <si>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</si>
  <si>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</si>
  <si>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</si>
  <si>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</si>
  <si>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</si>
  <si>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</si>
  <si>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</si>
  <si>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</si>
  <si>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</si>
  <si>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</si>
  <si>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</si>
  <si>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</si>
  <si>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</si>
  <si>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</si>
  <si>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</si>
  <si>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</si>
  <si>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</si>
  <si>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</si>
  <si>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</si>
  <si>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</si>
  <si>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</si>
  <si>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</si>
  <si>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</si>
  <si>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</si>
  <si>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</si>
  <si>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</si>
  <si>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</si>
  <si>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</si>
  <si>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</si>
  <si>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</si>
  <si>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</si>
  <si>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</si>
  <si>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</si>
  <si>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</si>
  <si>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</si>
  <si>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</si>
  <si>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</si>
  <si>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</si>
  <si>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</si>
  <si>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</si>
  <si>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</si>
  <si>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</si>
  <si>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</si>
  <si>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</si>
  <si>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</si>
  <si>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</si>
  <si>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</si>
  <si>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</si>
  <si>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</si>
  <si>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</si>
  <si>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</si>
  <si>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</si>
  <si>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</si>
  <si>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</si>
  <si>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</si>
  <si>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</si>
  <si>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</si>
  <si>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</si>
  <si>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</si>
  <si>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</si>
  <si>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</si>
  <si>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</si>
  <si>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</si>
  <si>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</si>
  <si>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</si>
  <si>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</si>
  <si>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</si>
  <si>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</si>
  <si>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</si>
  <si>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</si>
  <si>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</si>
  <si>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</si>
  <si>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</si>
  <si>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</si>
  <si>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</si>
  <si>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</si>
  <si>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</si>
  <si>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</si>
  <si>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</si>
  <si>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</si>
  <si>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</si>
  <si>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</si>
  <si>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</si>
  <si>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</si>
  <si>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</si>
  <si>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</si>
  <si>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</si>
  <si>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</si>
  <si>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</si>
  <si>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</si>
  <si>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</si>
  <si>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</si>
  <si>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</si>
  <si>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</si>
  <si>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</si>
  <si>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</si>
  <si>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</si>
  <si>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</si>
  <si>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</si>
  <si>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</si>
  <si>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</si>
  <si>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</si>
  <si>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</si>
  <si>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</si>
  <si>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</si>
  <si>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</si>
  <si>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</si>
  <si>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</si>
  <si>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</si>
  <si>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</si>
  <si>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</si>
  <si>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</si>
  <si>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</si>
  <si>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</si>
  <si>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</si>
  <si>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</si>
  <si>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</si>
  <si>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</si>
  <si>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</si>
  <si>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</si>
  <si>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</si>
  <si>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</si>
  <si>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</si>
  <si>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</si>
  <si>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</si>
  <si>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</si>
  <si>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</si>
  <si>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</si>
  <si>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</si>
  <si>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</si>
  <si>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</si>
  <si>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</si>
  <si>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</si>
  <si>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</si>
  <si>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</si>
  <si>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</si>
  <si>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</si>
  <si>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</si>
  <si>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</si>
  <si>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</si>
  <si>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</si>
  <si>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</si>
  <si>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</si>
  <si>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</si>
  <si>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</si>
  <si>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</si>
  <si>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</si>
  <si>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</si>
  <si>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</si>
  <si>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</si>
  <si>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</si>
  <si>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</si>
  <si>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</si>
  <si>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</si>
  <si>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</si>
  <si>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</si>
  <si>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</si>
  <si>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</si>
  <si>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</si>
  <si>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</si>
  <si>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</si>
  <si>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</si>
  <si>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</si>
  <si>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</si>
  <si>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</si>
  <si>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</si>
  <si>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</si>
  <si>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</si>
  <si>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</si>
  <si>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</si>
  <si>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</si>
  <si>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</si>
  <si>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</si>
  <si>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</si>
  <si>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</si>
  <si>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</si>
  <si>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</si>
  <si>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</si>
  <si>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</si>
  <si>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</si>
  <si>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</si>
  <si>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</si>
  <si>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</si>
  <si>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</si>
  <si>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</si>
  <si>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</si>
  <si>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</si>
  <si>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</si>
  <si>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</si>
  <si>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</si>
  <si>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</si>
  <si>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</si>
  <si>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</si>
  <si>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</si>
  <si>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</si>
  <si>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</si>
  <si>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</si>
  <si>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</si>
  <si>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</si>
  <si>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</si>
  <si>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</si>
  <si>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</si>
  <si>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</si>
  <si>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</si>
  <si>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</si>
  <si>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</si>
  <si>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</si>
  <si>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</si>
  <si>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</si>
  <si>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</si>
  <si>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</si>
  <si>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</si>
  <si>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</si>
  <si>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</si>
  <si>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</si>
  <si>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</si>
  <si>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</si>
  <si>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</si>
  <si>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</si>
  <si>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</si>
  <si>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</si>
  <si>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</si>
  <si>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</si>
  <si>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</si>
  <si>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</si>
  <si>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</si>
  <si>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</si>
  <si>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</si>
  <si>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</si>
  <si>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</si>
  <si>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</si>
  <si>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</si>
  <si>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</si>
  <si>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</si>
  <si>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</si>
  <si>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</si>
  <si>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</si>
  <si>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</si>
  <si>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</si>
  <si>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</si>
  <si>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</si>
  <si>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</si>
  <si>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</si>
  <si>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</si>
  <si>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</si>
  <si>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</si>
  <si>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</si>
  <si>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</si>
  <si>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</si>
  <si>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</si>
  <si>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</si>
  <si>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</si>
  <si>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</si>
  <si>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</si>
  <si>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</si>
  <si>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</si>
  <si>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</si>
  <si>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</si>
  <si>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</si>
  <si>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</si>
  <si>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</si>
  <si>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</si>
  <si>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</si>
  <si>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</si>
  <si>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</si>
  <si>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</si>
  <si>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</si>
  <si>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</si>
  <si>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</si>
  <si>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</si>
  <si>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</si>
  <si>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</si>
  <si>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</si>
  <si>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</si>
  <si>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</si>
  <si>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</si>
  <si>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</si>
  <si>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</si>
  <si>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</si>
  <si>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</si>
  <si>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</si>
  <si>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</si>
  <si>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</si>
  <si>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</si>
  <si>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</si>
  <si>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</si>
  <si>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</si>
  <si>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</si>
  <si>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</si>
  <si>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</si>
  <si>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</si>
  <si>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</si>
  <si>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</si>
  <si>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</si>
  <si>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</si>
  <si>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</si>
  <si>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</si>
  <si>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</si>
  <si>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</si>
  <si>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</si>
  <si>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</si>
  <si>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</si>
  <si>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</si>
  <si>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</si>
  <si>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</si>
  <si>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</si>
  <si>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</si>
  <si>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</si>
  <si>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</si>
  <si>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</si>
  <si>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</si>
  <si>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</si>
  <si>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</si>
  <si>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</si>
  <si>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</si>
  <si>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</si>
  <si>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</si>
  <si>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</si>
  <si>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</si>
  <si>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</si>
  <si>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</si>
  <si>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</si>
  <si>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</si>
  <si>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</si>
  <si>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</si>
  <si>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</si>
  <si>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</si>
  <si>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</si>
  <si>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</si>
  <si>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</si>
  <si>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</si>
  <si>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</si>
  <si>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</si>
  <si>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</si>
  <si>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</si>
  <si>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</si>
  <si>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</si>
  <si>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</si>
  <si>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</si>
  <si>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</si>
  <si>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</si>
  <si>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</si>
  <si>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</si>
  <si>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</si>
  <si>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</si>
  <si>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</si>
  <si>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</si>
  <si>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</si>
  <si>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</si>
  <si>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</si>
  <si>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</si>
  <si>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</si>
  <si>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</si>
  <si>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</si>
  <si>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</si>
  <si>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</si>
  <si>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</si>
  <si>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</si>
  <si>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</si>
  <si>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</si>
  <si>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</si>
  <si>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</si>
  <si>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</si>
  <si>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</si>
  <si>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</si>
  <si>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</si>
  <si>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</si>
  <si>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</si>
  <si>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</si>
  <si>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</si>
  <si>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</si>
  <si>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</si>
  <si>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</si>
  <si>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</si>
  <si>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</si>
  <si>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</si>
  <si>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</si>
  <si>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</si>
  <si>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</si>
  <si>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</si>
  <si>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</si>
  <si>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</si>
  <si>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</si>
  <si>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</si>
  <si>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</si>
  <si>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</si>
  <si>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</si>
  <si>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</si>
  <si>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</si>
  <si>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</si>
  <si>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</si>
  <si>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</si>
  <si>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</si>
  <si>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</si>
  <si>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</si>
  <si>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</si>
  <si>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</si>
  <si>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</si>
  <si>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</si>
  <si>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</si>
  <si>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</si>
  <si>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</si>
  <si>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</si>
  <si>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</si>
  <si>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</si>
  <si>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</si>
  <si>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</si>
  <si>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</si>
  <si>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</si>
  <si>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</si>
  <si>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</si>
  <si>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</si>
  <si>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</si>
  <si>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</si>
  <si>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</si>
  <si>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</si>
  <si>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</si>
  <si>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</si>
  <si>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</si>
  <si>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</si>
  <si>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</si>
  <si>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</si>
  <si>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</si>
  <si>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</si>
  <si>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</si>
  <si>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</si>
  <si>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</si>
  <si>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</si>
  <si>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</si>
  <si>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</si>
  <si>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</si>
  <si>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</si>
  <si>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</si>
  <si>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</si>
  <si>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</si>
  <si>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</si>
  <si>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</si>
  <si>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</si>
  <si>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</si>
  <si>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</si>
  <si>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</si>
  <si>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</si>
  <si>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</si>
  <si>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</si>
  <si>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</si>
  <si>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</si>
  <si>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</si>
  <si>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</si>
  <si>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</si>
  <si>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</si>
  <si>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</si>
  <si>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</si>
  <si>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</si>
  <si>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</si>
  <si>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</si>
  <si>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</si>
  <si>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</si>
  <si>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</si>
  <si>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</si>
  <si>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</si>
  <si>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</si>
  <si>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</si>
  <si>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</si>
  <si>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</si>
  <si>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</si>
  <si>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</si>
  <si>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</si>
  <si>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</si>
  <si>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</si>
  <si>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</si>
  <si>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</si>
  <si>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</si>
  <si>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</si>
  <si>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</si>
  <si>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</si>
  <si>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</si>
  <si>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</si>
  <si>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</si>
  <si>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</si>
  <si>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</si>
  <si>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</si>
  <si>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</si>
  <si>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</si>
  <si>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</si>
  <si>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</si>
  <si>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</si>
  <si>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</si>
  <si>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</si>
  <si>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</si>
  <si>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</si>
  <si>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</si>
  <si>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</si>
  <si>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</si>
  <si>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</si>
  <si>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</si>
  <si>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</si>
  <si>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</si>
  <si>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</si>
  <si>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</si>
  <si>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</si>
  <si>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</si>
  <si>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</si>
  <si>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</si>
  <si>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</si>
  <si>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</si>
  <si>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</si>
  <si>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</si>
  <si>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</si>
  <si>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</si>
  <si>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</si>
  <si>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</si>
  <si>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</si>
  <si>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</si>
  <si>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</si>
  <si>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</si>
  <si>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</si>
  <si>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</si>
  <si>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</si>
  <si>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</si>
  <si>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</si>
  <si>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</si>
  <si>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</si>
  <si>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</si>
  <si>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</si>
  <si>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</si>
  <si>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</si>
  <si>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</si>
  <si>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</si>
  <si>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</si>
  <si>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</si>
  <si>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</si>
  <si>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</si>
  <si>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</si>
  <si>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</si>
  <si>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</si>
  <si>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</si>
  <si>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</si>
  <si>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</si>
  <si>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</si>
  <si>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</si>
  <si>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</si>
  <si>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</si>
  <si>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</si>
  <si>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</si>
  <si>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</si>
  <si>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</si>
  <si>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</si>
  <si>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</si>
  <si>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</si>
  <si>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</si>
  <si>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</si>
  <si>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</si>
  <si>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</si>
  <si>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</si>
  <si>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</si>
  <si>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</si>
  <si>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</si>
  <si>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</si>
  <si>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</si>
  <si>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</si>
  <si>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</si>
  <si>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</si>
  <si>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</si>
  <si>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</si>
  <si>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</si>
  <si>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</si>
  <si>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</si>
  <si>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</si>
  <si>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</si>
  <si>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</si>
  <si>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</si>
  <si>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</si>
  <si>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</si>
  <si>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</si>
  <si>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</si>
  <si>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</si>
  <si>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</si>
  <si>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</si>
  <si>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</si>
  <si>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</si>
  <si>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</si>
  <si>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</si>
  <si>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</si>
  <si>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</si>
  <si>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</si>
  <si>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</si>
  <si>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</si>
  <si>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</si>
  <si>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</si>
  <si>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</si>
  <si>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</si>
  <si>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</si>
  <si>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</si>
  <si>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</si>
  <si>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</si>
  <si>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</si>
  <si>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</si>
  <si>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</si>
  <si>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</si>
  <si>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</si>
  <si>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</si>
  <si>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</si>
  <si>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</si>
  <si>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</si>
  <si>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</si>
  <si>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</si>
  <si>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</si>
  <si>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</si>
  <si>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</si>
  <si>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</si>
  <si>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</si>
  <si>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</si>
  <si>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</si>
  <si>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</si>
  <si>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</si>
  <si>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</si>
  <si>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</si>
  <si>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</si>
  <si>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</si>
  <si>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</si>
  <si>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</si>
  <si>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</si>
  <si>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</si>
  <si>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</si>
  <si>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</si>
  <si>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</si>
  <si>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</si>
  <si>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</si>
  <si>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</si>
  <si>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</si>
  <si>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</si>
  <si>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</si>
  <si>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</si>
  <si>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</si>
  <si>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</si>
  <si>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</si>
  <si>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</si>
  <si>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</si>
  <si>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</si>
  <si>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</si>
  <si>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</si>
  <si>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</si>
  <si>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</si>
  <si>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</si>
  <si>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</si>
  <si>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</si>
  <si>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</si>
  <si>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</si>
  <si>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</si>
  <si>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</si>
  <si>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</si>
  <si>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</si>
  <si>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</si>
  <si>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</si>
  <si>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</si>
  <si>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</si>
  <si>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</si>
  <si>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</si>
  <si>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</si>
  <si>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</si>
  <si>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</si>
  <si>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</si>
  <si>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</si>
  <si>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</si>
  <si>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</si>
  <si>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</si>
  <si>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</si>
  <si>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</si>
  <si>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</si>
  <si>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</si>
  <si>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</si>
  <si>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</si>
  <si>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</si>
  <si>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</si>
  <si>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</si>
  <si>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</si>
  <si>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</si>
  <si>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</si>
  <si>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</si>
  <si>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</si>
  <si>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</si>
  <si>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</si>
  <si>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</si>
  <si>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</si>
  <si>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</si>
  <si>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</si>
  <si>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</si>
  <si>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</si>
  <si>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</si>
  <si>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</si>
  <si>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</si>
  <si>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</si>
  <si>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</si>
  <si>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</si>
  <si>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</si>
  <si>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</si>
  <si>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</si>
  <si>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</si>
  <si>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</si>
  <si>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</si>
  <si>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</si>
  <si>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</si>
  <si>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</si>
  <si>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</si>
  <si>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</si>
  <si>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</si>
  <si>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</si>
  <si>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</si>
  <si>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</si>
  <si>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</si>
  <si>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</si>
  <si>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</si>
  <si>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</si>
  <si>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</si>
  <si>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</si>
  <si>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</si>
  <si>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</si>
  <si>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</si>
  <si>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</si>
  <si>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</si>
  <si>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</si>
  <si>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</si>
  <si>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</si>
  <si>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</si>
  <si>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</si>
  <si>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</si>
  <si>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</si>
  <si>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</si>
  <si>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</si>
  <si>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</si>
  <si>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</si>
  <si>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</si>
  <si>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</si>
  <si>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</si>
  <si>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</si>
  <si>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</si>
  <si>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</si>
  <si>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</si>
  <si>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</si>
  <si>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</si>
  <si>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</si>
  <si>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</si>
  <si>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</si>
  <si>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</si>
  <si>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</si>
  <si>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</si>
  <si>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</si>
  <si>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</si>
  <si>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</si>
  <si>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</si>
  <si>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</si>
  <si>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</si>
  <si>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</si>
  <si>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</si>
  <si>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</si>
  <si>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</si>
  <si>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</si>
  <si>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</si>
  <si>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</si>
  <si>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</si>
  <si>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</si>
  <si>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</si>
  <si>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</si>
  <si>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</si>
  <si>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</si>
  <si>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</si>
  <si>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</si>
  <si>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</si>
  <si>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</si>
  <si>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</si>
  <si>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</si>
  <si>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</si>
  <si>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</si>
  <si>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</si>
  <si>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</si>
  <si>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</si>
  <si>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</si>
  <si>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</si>
  <si>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</si>
  <si>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</si>
  <si>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</si>
  <si>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</si>
  <si>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</si>
  <si>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</si>
  <si>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</si>
  <si>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</si>
  <si>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</si>
  <si>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</si>
  <si>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</si>
  <si>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</si>
  <si>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</si>
  <si>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</si>
  <si>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</si>
  <si>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</si>
  <si>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</si>
  <si>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</si>
  <si>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</si>
  <si>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</si>
  <si>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</si>
  <si>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</si>
  <si>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</si>
  <si>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</si>
  <si>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</si>
  <si>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</si>
  <si>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</si>
  <si>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</si>
  <si>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</si>
  <si>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</si>
  <si>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</si>
  <si>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</si>
  <si>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</si>
  <si>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</si>
  <si>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</si>
  <si>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</si>
  <si>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</si>
  <si>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</si>
  <si>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</si>
  <si>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</si>
  <si>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</si>
  <si>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</si>
  <si>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</si>
  <si>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</si>
  <si>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</si>
  <si>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</si>
  <si>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</si>
  <si>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</si>
  <si>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</si>
  <si>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</si>
  <si>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</si>
  <si>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</si>
  <si>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</si>
  <si>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</si>
  <si>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</si>
  <si>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</si>
  <si>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</si>
  <si>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</si>
  <si>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</si>
  <si>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</si>
  <si>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</si>
  <si>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</si>
  <si>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</si>
  <si>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</si>
  <si>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</si>
  <si>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</si>
  <si>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</si>
  <si>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</si>
  <si>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</si>
  <si>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</si>
  <si>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</si>
  <si>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</si>
  <si>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</si>
  <si>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</si>
  <si>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</si>
  <si>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</si>
  <si>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</si>
  <si>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</si>
  <si>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</si>
  <si>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</si>
  <si>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</si>
  <si>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</si>
  <si>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</si>
  <si>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</si>
  <si>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</si>
  <si>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</si>
  <si>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</si>
  <si>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</si>
  <si>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</si>
  <si>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</si>
  <si>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</si>
  <si>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</si>
  <si>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</si>
  <si>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</si>
  <si>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</si>
  <si>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</si>
  <si>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</si>
  <si>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</si>
  <si>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</si>
  <si>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</si>
  <si>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</si>
  <si>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</si>
  <si>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</si>
  <si>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</si>
  <si>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</si>
  <si>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</si>
  <si>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</si>
  <si>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</si>
  <si>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</si>
  <si>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</si>
  <si>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</si>
  <si>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</si>
  <si>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</si>
  <si>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</si>
  <si>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</si>
  <si>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</si>
  <si>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</si>
  <si>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</si>
  <si>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</si>
  <si>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</si>
  <si>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</si>
  <si>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</si>
  <si>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</si>
  <si>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</si>
  <si>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</si>
  <si>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</si>
  <si>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</si>
  <si>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</si>
  <si>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</si>
  <si>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</si>
  <si>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</si>
  <si>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</si>
  <si>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</si>
  <si>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</si>
  <si>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</si>
  <si>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</si>
  <si>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</si>
  <si>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</si>
  <si>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</si>
  <si>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</si>
  <si>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</si>
  <si>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</si>
  <si>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</si>
  <si>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</si>
  <si>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</si>
  <si>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</si>
  <si>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</si>
  <si>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</si>
  <si>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</si>
  <si>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</si>
  <si>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</si>
  <si>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</si>
  <si>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</si>
  <si>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</si>
  <si>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</si>
  <si>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</si>
  <si>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</si>
  <si>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</si>
  <si>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</si>
  <si>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</si>
  <si>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</si>
  <si>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</si>
  <si>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</si>
  <si>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</si>
  <si>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</si>
  <si>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</si>
  <si>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</si>
  <si>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</si>
  <si>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</si>
  <si>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</si>
  <si>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</si>
  <si>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</si>
  <si>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</si>
  <si>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</si>
  <si>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</si>
  <si>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</si>
  <si>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</si>
  <si>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</si>
  <si>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</si>
  <si>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</si>
  <si>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</si>
  <si>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</si>
  <si>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</si>
  <si>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</si>
  <si>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</si>
  <si>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</si>
  <si>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</si>
  <si>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</si>
  <si>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</si>
  <si>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</si>
  <si>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</si>
  <si>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</si>
  <si>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</si>
  <si>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</si>
  <si>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</si>
  <si>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</si>
  <si>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</si>
  <si>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</si>
  <si>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</si>
  <si>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</si>
  <si>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</si>
  <si>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</si>
  <si>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</si>
  <si>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</si>
  <si>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</si>
  <si>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</si>
  <si>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</si>
  <si>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</si>
  <si>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</si>
  <si>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</si>
  <si>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</si>
  <si>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</si>
  <si>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</si>
  <si>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</si>
  <si>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</si>
  <si>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</si>
  <si>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</si>
  <si>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</si>
  <si>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</si>
  <si>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</si>
  <si>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</si>
  <si>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</si>
  <si>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</si>
  <si>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</si>
  <si>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</si>
  <si>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</si>
  <si>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</si>
  <si>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</si>
  <si>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</si>
  <si>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</si>
  <si>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</si>
  <si>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</si>
  <si>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</si>
  <si>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</si>
  <si>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</si>
  <si>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</si>
  <si>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</si>
  <si>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</si>
  <si>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</si>
  <si>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</si>
  <si>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</si>
  <si>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</si>
  <si>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</si>
  <si>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</si>
  <si>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</si>
  <si>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</si>
  <si>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</si>
  <si>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</si>
  <si>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</si>
  <si>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</si>
  <si>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</si>
  <si>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</si>
  <si>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</si>
  <si>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</si>
  <si>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</si>
  <si>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</si>
  <si>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</si>
  <si>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</si>
  <si>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</si>
  <si>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</si>
  <si>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</si>
  <si>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</si>
  <si>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</si>
  <si>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</si>
  <si>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</si>
  <si>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</si>
  <si>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</si>
  <si>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</si>
  <si>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</si>
  <si>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</si>
  <si>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</si>
  <si>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</si>
  <si>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</si>
  <si>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</si>
  <si>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</si>
  <si>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</si>
  <si>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</si>
  <si>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</si>
  <si>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</si>
  <si>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</si>
  <si>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</si>
  <si>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</si>
  <si>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</si>
  <si>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</si>
  <si>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</si>
  <si>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</si>
  <si>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</si>
  <si>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</si>
  <si>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</si>
  <si>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</si>
  <si>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</si>
  <si>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</si>
  <si>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</si>
  <si>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</si>
  <si>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</si>
  <si>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</si>
  <si>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</si>
  <si>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</si>
  <si>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</si>
  <si>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</si>
  <si>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</si>
  <si>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</si>
  <si>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</si>
  <si>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</si>
  <si>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</si>
  <si>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</si>
  <si>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</si>
  <si>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</si>
  <si>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</si>
  <si>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</si>
  <si>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</si>
  <si>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</si>
  <si>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</si>
  <si>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</si>
  <si>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</si>
  <si>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</si>
  <si>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</si>
  <si>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</si>
  <si>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</si>
  <si>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</si>
  <si>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</si>
  <si>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</si>
  <si>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</si>
  <si>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</si>
  <si>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</si>
  <si>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</si>
  <si>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</si>
  <si>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</si>
  <si>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</si>
  <si>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</si>
  <si>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</si>
  <si>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</si>
  <si>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</si>
  <si>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</si>
  <si>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</si>
  <si>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</si>
  <si>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</si>
  <si>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</si>
  <si>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</si>
  <si>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</si>
  <si>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</si>
  <si>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</si>
  <si>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</si>
  <si>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</si>
  <si>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</si>
  <si>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</si>
  <si>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</si>
  <si>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</si>
  <si>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</si>
  <si>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</si>
  <si>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</si>
  <si>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</si>
  <si>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</si>
  <si>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</si>
  <si>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</si>
  <si>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</si>
  <si>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</si>
  <si>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</si>
  <si>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</si>
  <si>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</si>
  <si>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</si>
  <si>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</si>
  <si>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</si>
  <si>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</si>
  <si>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</si>
  <si>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</si>
  <si>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</si>
  <si>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</si>
  <si>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</si>
  <si>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</si>
  <si>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</si>
  <si>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</si>
  <si>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</si>
  <si>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</si>
  <si>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</si>
  <si>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</si>
  <si>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</si>
  <si>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</si>
  <si>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</si>
  <si>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</si>
  <si>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</si>
  <si>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</si>
  <si>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</si>
  <si>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</si>
  <si>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</si>
  <si>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</si>
  <si>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</si>
  <si>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</si>
  <si>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</si>
  <si>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</si>
  <si>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</si>
  <si>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</si>
  <si>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</si>
  <si>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</si>
  <si>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</si>
  <si>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</si>
  <si>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</si>
  <si>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</si>
  <si>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</si>
  <si>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</si>
  <si>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</si>
  <si>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</si>
  <si>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</si>
  <si>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</si>
  <si>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</si>
  <si>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</si>
  <si>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</si>
  <si>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</si>
  <si>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</si>
  <si>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</si>
  <si>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</si>
  <si>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</si>
  <si>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</si>
  <si>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</si>
  <si>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</si>
  <si>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</si>
  <si>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</si>
  <si>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</si>
  <si>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</si>
  <si>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</si>
  <si>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</si>
  <si>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</si>
  <si>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</si>
  <si>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</si>
  <si>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</si>
  <si>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</si>
  <si>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</si>
  <si>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</si>
  <si>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</si>
  <si>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</si>
  <si>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</si>
  <si>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</si>
  <si>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</si>
  <si>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</si>
  <si>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</si>
  <si>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</si>
  <si>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</si>
  <si>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</si>
  <si>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</si>
  <si>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</si>
  <si>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</si>
  <si>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</si>
  <si>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</si>
  <si>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</si>
  <si>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</si>
  <si>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</si>
  <si>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</si>
  <si>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</si>
  <si>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</si>
  <si>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</si>
  <si>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</si>
  <si>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</si>
  <si>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</si>
  <si>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</si>
  <si>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</si>
  <si>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</si>
  <si>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</si>
  <si>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</si>
  <si>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</si>
  <si>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</si>
  <si>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</si>
  <si>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</si>
  <si>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</si>
  <si>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</si>
  <si>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</si>
  <si>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</si>
  <si>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</si>
  <si>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</si>
  <si>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</si>
  <si>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</si>
  <si>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</si>
  <si>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</si>
  <si>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</si>
  <si>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</si>
  <si>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</si>
  <si>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</si>
  <si>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</si>
  <si>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</si>
  <si>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</si>
  <si>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</si>
  <si>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</si>
  <si>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</si>
  <si>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</si>
  <si>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</si>
  <si>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</si>
  <si>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</si>
  <si>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</si>
  <si>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</si>
  <si>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</si>
  <si>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</si>
  <si>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</si>
  <si>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</si>
  <si>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</si>
  <si>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</si>
  <si>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</si>
  <si>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</si>
  <si>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</si>
  <si>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</si>
  <si>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</si>
  <si>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</si>
  <si>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</si>
  <si>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</si>
  <si>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</si>
  <si>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</si>
  <si>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</si>
  <si>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</si>
  <si>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</si>
  <si>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</si>
  <si>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</si>
  <si>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</si>
  <si>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</si>
  <si>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</si>
  <si>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</si>
  <si>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</si>
  <si>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</si>
  <si>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</si>
  <si>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</si>
  <si>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</si>
  <si>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</si>
  <si>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</si>
  <si>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</si>
  <si>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</si>
  <si>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</si>
  <si>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</si>
  <si>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</si>
  <si>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</si>
  <si>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</si>
  <si>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</si>
  <si>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</si>
  <si>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</si>
  <si>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</si>
  <si>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</si>
  <si>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</si>
  <si>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</si>
  <si>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</si>
  <si>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</si>
  <si>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</si>
  <si>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</si>
  <si>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</si>
  <si>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</si>
  <si>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</si>
  <si>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</si>
  <si>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</si>
  <si>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</si>
  <si>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</si>
  <si>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</si>
  <si>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</si>
  <si>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</si>
  <si>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</si>
  <si>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</si>
  <si>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</si>
  <si>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</si>
  <si>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</si>
  <si>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</si>
  <si>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</si>
  <si>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</si>
  <si>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</si>
  <si>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</si>
  <si>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</si>
  <si>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</si>
  <si>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</si>
  <si>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</si>
  <si>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</si>
  <si>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</si>
  <si>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</si>
  <si>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</si>
  <si>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</si>
  <si>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</si>
  <si>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</si>
  <si>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</si>
  <si>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</si>
  <si>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</si>
  <si>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</si>
  <si>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</si>
  <si>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</si>
  <si>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</si>
  <si>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</si>
  <si>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</si>
  <si>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</si>
  <si>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</si>
  <si>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</si>
  <si>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</si>
  <si>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</si>
  <si>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</si>
  <si>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</si>
  <si>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</si>
  <si>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</si>
  <si>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</si>
  <si>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</si>
  <si>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</si>
  <si>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</si>
  <si>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</si>
  <si>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</si>
  <si>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</si>
  <si>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</si>
  <si>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</si>
  <si>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</si>
  <si>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</si>
  <si>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</si>
  <si>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</si>
  <si>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</si>
  <si>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</si>
  <si>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</si>
  <si>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</si>
  <si>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</si>
  <si>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</si>
  <si>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</si>
  <si>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</si>
  <si>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</si>
  <si>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</si>
  <si>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</si>
  <si>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</si>
  <si>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</si>
  <si>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TRAVO</t>
  </si>
  <si>
    <t xml:space="preserve">Ventiseri</t>
  </si>
  <si>
    <t xml:space="preserve">06222195</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</si>
  <si>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</si>
  <si>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</si>
  <si>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</si>
  <si>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</si>
  <si>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</si>
  <si>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</si>
  <si>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</si>
  <si>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</si>
  <si>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</si>
  <si>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</si>
  <si>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</si>
  <si>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</si>
  <si>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</si>
  <si>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</si>
  <si>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</si>
  <si>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</si>
  <si>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</si>
  <si>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</si>
  <si>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</si>
  <si>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</si>
  <si>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</si>
  <si>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</si>
  <si>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</si>
  <si>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</si>
  <si>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</si>
  <si>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</si>
  <si>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</si>
  <si>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</si>
  <si>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</si>
  <si>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</si>
  <si>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</si>
  <si>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</si>
  <si>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</si>
  <si>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</si>
  <si>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</si>
  <si>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</si>
  <si>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</si>
  <si>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</si>
  <si>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</si>
  <si>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</si>
  <si>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</si>
  <si>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</si>
  <si>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</si>
  <si>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</si>
  <si>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</si>
  <si>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</si>
  <si>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</si>
  <si>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</si>
  <si>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</si>
  <si>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</si>
  <si>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(1,889884 %)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</si>
  <si>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</si>
  <si>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</si>
  <si>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</si>
  <si>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</si>
  <si>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</si>
  <si>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</si>
  <si>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</si>
  <si>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</si>
  <si>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</si>
  <si>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</si>
  <si>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</si>
  <si>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</si>
  <si>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</si>
  <si>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</si>
  <si>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</si>
  <si>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</si>
  <si>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</si>
  <si>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</si>
  <si>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</si>
  <si>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</si>
  <si>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Klebsormidium sp</t>
  </si>
  <si>
    <t xml:space="preserve">Bellium bellioides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</si>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</sst>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41451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12.0625</v>
      </c>
      <c r="M5" s="323"/>
      <c r="N5" s="324" t="s">
        <v>258</v>
      </c>
      <c r="O5" s="325" t="n">
        <v>12.5384615384615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67</v>
      </c>
      <c r="C7" s="337" t="n">
        <v>33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5.85</v>
      </c>
      <c r="O8" s="354" t="n">
        <f aca="false">IF(ISERROR(AVERAGE(J23:J82)),"      -",AVERAGE(J23:J82))</f>
        <v>0.7</v>
      </c>
      <c r="P8" s="355"/>
      <c r="Q8" s="280"/>
      <c r="R8" s="280"/>
      <c r="S8" s="280"/>
      <c r="T8" s="280"/>
      <c r="U8" s="280"/>
      <c r="V8" s="280"/>
      <c r="W8" s="292"/>
      <c r="X8" s="293"/>
    </row>
    <row r="9" customFormat="false" ht="13.5" hidden="false" customHeight="false" outlineLevel="0" collapsed="false">
      <c r="A9" s="313" t="s">
        <v>2635</v>
      </c>
      <c r="B9" s="356" t="n">
        <v>2.35</v>
      </c>
      <c r="C9" s="357" t="n">
        <v>0.95</v>
      </c>
      <c r="D9" s="358"/>
      <c r="E9" s="358"/>
      <c r="F9" s="359" t="n">
        <f aca="false">($B9*$B$7+$C9*$C$7)/100</f>
        <v>1.888</v>
      </c>
      <c r="G9" s="360"/>
      <c r="H9" s="361"/>
      <c r="I9" s="362"/>
      <c r="J9" s="363"/>
      <c r="K9" s="343"/>
      <c r="L9" s="364"/>
      <c r="M9" s="353" t="s">
        <v>2636</v>
      </c>
      <c r="N9" s="354" t="n">
        <f aca="false">IF(ISERROR(STDEVP(I23:I82)),"     -",STDEVP(I23:I82))</f>
        <v>6.09323395250831</v>
      </c>
      <c r="O9" s="354" t="n">
        <f aca="false">IF(ISERROR(STDEVP(J23:J82)),"      -",STDEVP(J23:J82))</f>
        <v>0.781024967590666</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9</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22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20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6</v>
      </c>
      <c r="L15" s="386"/>
      <c r="M15" s="407" t="s">
        <v>2654</v>
      </c>
      <c r="N15" s="408" t="n">
        <f aca="false">COUNTIF(J23:J82,"=1")</f>
        <v>6</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2.3602</v>
      </c>
      <c r="C20" s="436" t="n">
        <f aca="false">SUM(C23:C82)</f>
        <v>0.935</v>
      </c>
      <c r="D20" s="437"/>
      <c r="E20" s="438" t="s">
        <v>2660</v>
      </c>
      <c r="F20" s="439" t="n">
        <f aca="false">($B20*$B$7+$C20*$C$7)/100</f>
        <v>1.889884</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1.581334</v>
      </c>
      <c r="C21" s="449" t="n">
        <f aca="false">C20*C7/100</f>
        <v>0.30855</v>
      </c>
      <c r="D21" s="381" t="str">
        <f aca="false">IF(F21=0,"",IF((ABS(F21-F19))&gt;(0.2*F21),CONCATENATE(" rec. par taxa (",F21," %) supérieur à 20 % !"),""))</f>
        <v> rec. par taxa (1,889884 %) supérieur à 20 % !</v>
      </c>
      <c r="E21" s="450" t="str">
        <f aca="false">IF(F21=0,"",IF((ABS(F21-F19))&gt;(0.2*F21),CONCATENATE("ATTENTION : écart entre rec. par grp (",F19," %) ","et",""),""))</f>
        <v>ATTENTION : écart entre rec. par grp (0 %) et</v>
      </c>
      <c r="F21" s="451" t="n">
        <f aca="false">B21+C21</f>
        <v>1.889884</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c r="C23" s="476" t="n">
        <v>0.01</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0.0033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0.0033</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77</v>
      </c>
      <c r="B24" s="494"/>
      <c r="C24" s="495" t="n">
        <v>0.005</v>
      </c>
      <c r="D24" s="477" t="str">
        <f aca="false">IF(ISERROR(VLOOKUP($A24,'liste reference'!$A$7:$D$904,2,0)),IF(ISERROR(VLOOKUP($A24,'liste reference'!$B$7:$D$904,1,0)),"",VLOOKUP($A24,'liste reference'!$B$7:$D$904,1,0)),VLOOKUP($A24,'liste reference'!$A$7:$D$904,2,0))</f>
        <v>Chaetophora sp.</v>
      </c>
      <c r="E24" s="496" t="e">
        <f aca="false">IF(D24="",0,VLOOKUP(D24,D$22:D23,1,0))</f>
        <v>#N/A</v>
      </c>
      <c r="F24" s="497" t="n">
        <f aca="false">($B24*$B$7+$C24*$C$7)/100</f>
        <v>0.00165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1117</v>
      </c>
      <c r="Q24" s="486" t="n">
        <f aca="false">IF(ISTEXT(H24),"",(B24*$B$7/100)+(C24*$C$7/100))</f>
        <v>0.00165</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CHESPX</v>
      </c>
      <c r="Z24" s="280" t="n">
        <f aca="false">IF(ISERROR(MATCH(A24,'liste reference'!$A$8:$A$904,0)),IF(ISERROR(MATCH(A24,'liste reference'!$B$8:$B$904,0)),"",(MATCH(A24,'liste reference'!$B$8:$B$904,0))),(MATCH(A24,'liste reference'!$A$8:$A$904,0)))</f>
        <v>9</v>
      </c>
      <c r="AA24" s="491"/>
      <c r="AB24" s="492"/>
      <c r="AC24" s="492"/>
      <c r="BB24" s="280" t="n">
        <f aca="false">IF(A24="","",1)</f>
        <v>1</v>
      </c>
    </row>
    <row r="25" customFormat="false" ht="12.75" hidden="false" customHeight="false" outlineLevel="0" collapsed="false">
      <c r="A25" s="493" t="s">
        <v>154</v>
      </c>
      <c r="B25" s="494" t="n">
        <v>0.1</v>
      </c>
      <c r="C25" s="495" t="n">
        <v>0.01</v>
      </c>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0.0703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0.0703</v>
      </c>
      <c r="R25" s="487" t="n">
        <f aca="false">IF(OR(ISTEXT(H25),Q25=0),"",IF(Q25&lt;0.1,1,IF(Q25&lt;1,2,IF(Q25&lt;10,3,IF(Q25&lt;50,4,IF(Q25&gt;=50,5,""))))))</f>
        <v>1</v>
      </c>
      <c r="S25" s="487" t="n">
        <f aca="false">IF(ISERROR(R25*I25),0,R25*I25)</f>
        <v>15</v>
      </c>
      <c r="T25" s="487" t="n">
        <f aca="false">IF(ISERROR(R25*I25*J25),0,R25*I25*J25)</f>
        <v>30</v>
      </c>
      <c r="U25" s="499" t="n">
        <f aca="false">IF(ISERROR(R25*J25),0,R25*J25)</f>
        <v>2</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220</v>
      </c>
      <c r="B26" s="494" t="n">
        <v>0.005</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0.00335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0.00335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228</v>
      </c>
      <c r="B27" s="494" t="n">
        <v>0.005</v>
      </c>
      <c r="C27" s="495"/>
      <c r="D27" s="477" t="str">
        <f aca="false">IF(ISERROR(VLOOKUP($A27,'liste reference'!$A$7:$D$904,2,0)),IF(ISERROR(VLOOKUP($A27,'liste reference'!$B$7:$D$904,1,0)),"",VLOOKUP($A27,'liste reference'!$B$7:$D$904,1,0)),VLOOKUP($A27,'liste reference'!$A$7:$D$904,2,0))</f>
        <v>Phormidium sp.</v>
      </c>
      <c r="E27" s="496" t="e">
        <f aca="false">IF(D27="",0,VLOOKUP(D27,D$22:D26,1,0))</f>
        <v>#N/A</v>
      </c>
      <c r="F27" s="497" t="n">
        <f aca="false">($B27*$B$7+$C27*$C$7)/100</f>
        <v>0.00335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6414</v>
      </c>
      <c r="Q27" s="486" t="n">
        <f aca="false">IF(ISTEXT(H27),"",(B27*$B$7/100)+(C27*$C$7/100))</f>
        <v>0.00335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PHOSPX</v>
      </c>
      <c r="Z27" s="280" t="n">
        <f aca="false">IF(ISERROR(MATCH(A27,'liste reference'!$A$8:$A$904,0)),IF(ISERROR(MATCH(A27,'liste reference'!$B$8:$B$904,0)),"",(MATCH(A27,'liste reference'!$B$8:$B$904,0))),(MATCH(A27,'liste reference'!$A$8:$A$904,0)))</f>
        <v>57</v>
      </c>
      <c r="AA27" s="491"/>
      <c r="AB27" s="492"/>
      <c r="AC27" s="492"/>
      <c r="BB27" s="280" t="n">
        <f aca="false">IF(A27="","",1)</f>
        <v>1</v>
      </c>
    </row>
    <row r="28" customFormat="false" ht="12.75" hidden="false" customHeight="false" outlineLevel="0" collapsed="false">
      <c r="A28" s="493" t="s">
        <v>250</v>
      </c>
      <c r="B28" s="494"/>
      <c r="C28" s="495" t="n">
        <v>0.005</v>
      </c>
      <c r="D28" s="477" t="str">
        <f aca="false">IF(ISERROR(VLOOKUP($A28,'liste reference'!$A$7:$D$904,2,0)),IF(ISERROR(VLOOKUP($A28,'liste reference'!$B$7:$D$904,1,0)),"",VLOOKUP($A28,'liste reference'!$B$7:$D$904,1,0)),VLOOKUP($A28,'liste reference'!$A$7:$D$904,2,0))</f>
        <v>Scytonema sp.</v>
      </c>
      <c r="E28" s="496" t="e">
        <f aca="false">IF(D28="",0,VLOOKUP(D28,D$22:D27,1,0))</f>
        <v>#N/A</v>
      </c>
      <c r="F28" s="497" t="n">
        <f aca="false">($B28*$B$7+$C28*$C$7)/100</f>
        <v>0.00165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Scytonema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1114</v>
      </c>
      <c r="Q28" s="486" t="n">
        <f aca="false">IF(ISTEXT(H28),"",(B28*$B$7/100)+(C28*$C$7/100))</f>
        <v>0.00165</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SCYSPX</v>
      </c>
      <c r="Z28" s="280" t="n">
        <f aca="false">IF(ISERROR(MATCH(A28,'liste reference'!$A$8:$A$904,0)),IF(ISERROR(MATCH(A28,'liste reference'!$B$8:$B$904,0)),"",(MATCH(A28,'liste reference'!$B$8:$B$904,0))),(MATCH(A28,'liste reference'!$A$8:$A$904,0)))</f>
        <v>66</v>
      </c>
      <c r="AA28" s="491"/>
      <c r="AB28" s="492"/>
      <c r="AC28" s="492"/>
      <c r="BB28" s="280" t="n">
        <f aca="false">IF(A28="","",1)</f>
        <v>1</v>
      </c>
    </row>
    <row r="29" customFormat="false" ht="12.75" hidden="false" customHeight="false" outlineLevel="0" collapsed="false">
      <c r="A29" s="493" t="s">
        <v>248</v>
      </c>
      <c r="B29" s="494" t="n">
        <v>0.5</v>
      </c>
      <c r="C29" s="495" t="n">
        <v>0.5</v>
      </c>
      <c r="D29" s="477" t="str">
        <f aca="false">IF(ISERROR(VLOOKUP($A29,'liste reference'!$A$7:$D$904,2,0)),IF(ISERROR(VLOOKUP($A29,'liste reference'!$B$7:$D$904,1,0)),"",VLOOKUP($A29,'liste reference'!$B$7:$D$904,1,0)),VLOOKUP($A29,'liste reference'!$A$7:$D$904,2,0))</f>
        <v>Schizothrix sp.</v>
      </c>
      <c r="E29" s="496" t="e">
        <f aca="false">IF(D29="",0,VLOOKUP(D29,D$22:D28,1,0))</f>
        <v>#N/A</v>
      </c>
      <c r="F29" s="497" t="n">
        <f aca="false">($B29*$B$7+$C29*$C$7)/100</f>
        <v>0.5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Schizothrix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6436</v>
      </c>
      <c r="Q29" s="486" t="n">
        <f aca="false">IF(ISTEXT(H29),"",(B29*$B$7/100)+(C29*$C$7/100))</f>
        <v>0.5</v>
      </c>
      <c r="R29" s="487" t="n">
        <f aca="false">IF(OR(ISTEXT(H29),Q29=0),"",IF(Q29&lt;0.1,1,IF(Q29&lt;1,2,IF(Q29&lt;10,3,IF(Q29&lt;50,4,IF(Q29&gt;=50,5,""))))))</f>
        <v>2</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SCZSPX</v>
      </c>
      <c r="Z29" s="280" t="n">
        <f aca="false">IF(ISERROR(MATCH(A29,'liste reference'!$A$8:$A$904,0)),IF(ISERROR(MATCH(A29,'liste reference'!$B$8:$B$904,0)),"",(MATCH(A29,'liste reference'!$B$8:$B$904,0))),(MATCH(A29,'liste reference'!$A$8:$A$904,0)))</f>
        <v>65</v>
      </c>
      <c r="AA29" s="491"/>
      <c r="AB29" s="492"/>
      <c r="AC29" s="492"/>
      <c r="BB29" s="280" t="n">
        <f aca="false">IF(A29="","",1)</f>
        <v>1</v>
      </c>
    </row>
    <row r="30" customFormat="false" ht="12.75" hidden="false" customHeight="false" outlineLevel="0" collapsed="false">
      <c r="A30" s="493" t="s">
        <v>258</v>
      </c>
      <c r="B30" s="494" t="n">
        <v>1.55</v>
      </c>
      <c r="C30" s="495" t="n">
        <v>0.1</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1.0715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1.0715</v>
      </c>
      <c r="R30" s="487" t="n">
        <f aca="false">IF(OR(ISTEXT(H30),Q30=0),"",IF(Q30&lt;0.1,1,IF(Q30&lt;1,2,IF(Q30&lt;10,3,IF(Q30&lt;50,4,IF(Q30&gt;=50,5,""))))))</f>
        <v>3</v>
      </c>
      <c r="S30" s="487" t="n">
        <f aca="false">IF(ISERROR(R30*I30),0,R30*I30)</f>
        <v>30</v>
      </c>
      <c r="T30" s="487" t="n">
        <f aca="false">IF(ISERROR(R30*I30*J30),0,R30*I30*J30)</f>
        <v>30</v>
      </c>
      <c r="U30" s="499" t="n">
        <f aca="false">IF(ISERROR(R30*J30),0,R30*J30)</f>
        <v>3</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293</v>
      </c>
      <c r="B31" s="494" t="n">
        <v>0.005</v>
      </c>
      <c r="C31" s="495"/>
      <c r="D31" s="477" t="str">
        <f aca="false">IF(ISERROR(VLOOKUP($A31,'liste reference'!$A$7:$D$904,2,0)),IF(ISERROR(VLOOKUP($A31,'liste reference'!$B$7:$D$904,1,0)),"",VLOOKUP($A31,'liste reference'!$B$7:$D$904,1,0)),VLOOKUP($A31,'liste reference'!$A$7:$D$904,2,0))</f>
        <v>Tolypothrix sp.</v>
      </c>
      <c r="E31" s="496" t="e">
        <f aca="false">IF(D31="",0,VLOOKUP(D31,D$22:D30,1,0))</f>
        <v>#N/A</v>
      </c>
      <c r="F31" s="497" t="n">
        <f aca="false">($B31*$B$7+$C31*$C$7)/100</f>
        <v>0.00335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Tolypothrix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6304</v>
      </c>
      <c r="Q31" s="486" t="n">
        <f aca="false">IF(ISTEXT(H31),"",(B31*$B$7/100)+(C31*$C$7/100))</f>
        <v>0.00335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TOYSPX</v>
      </c>
      <c r="Z31" s="280" t="n">
        <f aca="false">IF(ISERROR(MATCH(A31,'liste reference'!$A$8:$A$904,0)),IF(ISERROR(MATCH(A31,'liste reference'!$B$8:$B$904,0)),"",(MATCH(A31,'liste reference'!$B$8:$B$904,0))),(MATCH(A31,'liste reference'!$A$8:$A$904,0)))</f>
        <v>79</v>
      </c>
      <c r="AA31" s="491"/>
      <c r="AB31" s="492"/>
      <c r="AC31" s="492"/>
      <c r="BB31" s="280" t="n">
        <f aca="false">IF(A31="","",1)</f>
        <v>1</v>
      </c>
    </row>
    <row r="32" customFormat="false" ht="12.75" hidden="false" customHeight="false" outlineLevel="0" collapsed="false">
      <c r="A32" s="493" t="s">
        <v>691</v>
      </c>
      <c r="B32" s="494"/>
      <c r="C32" s="495" t="n">
        <v>0.005</v>
      </c>
      <c r="D32" s="477" t="str">
        <f aca="false">IF(ISERROR(VLOOKUP($A32,'liste reference'!$A$7:$D$904,2,0)),IF(ISERROR(VLOOKUP($A32,'liste reference'!$B$7:$D$904,1,0)),"",VLOOKUP($A32,'liste reference'!$B$7:$D$904,1,0)),VLOOKUP($A32,'liste reference'!$A$7:$D$904,2,0))</f>
        <v>Bryum pseudotriquetrum</v>
      </c>
      <c r="E32" s="496" t="e">
        <f aca="false">IF(D32="",0,VLOOKUP(D32,D$22:D31,1,0))</f>
        <v>#N/A</v>
      </c>
      <c r="F32" s="497" t="n">
        <f aca="false">($B32*$B$7+$C32*$C$7)/100</f>
        <v>0.00165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Bryum pseudotriquetrum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1274</v>
      </c>
      <c r="Q32" s="486" t="n">
        <f aca="false">IF(ISTEXT(H32),"",(B32*$B$7/100)+(C32*$C$7/100))</f>
        <v>0.00165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BRYPSE</v>
      </c>
      <c r="Z32" s="280" t="n">
        <f aca="false">IF(ISERROR(MATCH(A32,'liste reference'!$A$8:$A$904,0)),IF(ISERROR(MATCH(A32,'liste reference'!$B$8:$B$904,0)),"",(MATCH(A32,'liste reference'!$B$8:$B$904,0))),(MATCH(A32,'liste reference'!$A$8:$A$904,0)))</f>
        <v>160</v>
      </c>
      <c r="AA32" s="491"/>
      <c r="AB32" s="492"/>
      <c r="AC32" s="492"/>
      <c r="BB32" s="280" t="n">
        <f aca="false">IF(A32="","",1)</f>
        <v>1</v>
      </c>
    </row>
    <row r="33" customFormat="false" ht="12.75" hidden="false" customHeight="false" outlineLevel="0" collapsed="false">
      <c r="A33" s="493" t="s">
        <v>730</v>
      </c>
      <c r="B33" s="494" t="n">
        <v>0.0052</v>
      </c>
      <c r="C33" s="495" t="n">
        <v>0.005</v>
      </c>
      <c r="D33" s="477" t="str">
        <f aca="false">IF(ISERROR(VLOOKUP($A33,'liste reference'!$A$7:$D$904,2,0)),IF(ISERROR(VLOOKUP($A33,'liste reference'!$B$7:$D$904,1,0)),"",VLOOKUP($A33,'liste reference'!$B$7:$D$904,1,0)),VLOOKUP($A33,'liste reference'!$A$7:$D$904,2,0))</f>
        <v>Calliergonella cuspidata</v>
      </c>
      <c r="E33" s="496" t="e">
        <f aca="false">IF(D33="",0,VLOOKUP(D33,D$22:D32,1,0))</f>
        <v>#N/A</v>
      </c>
      <c r="F33" s="497" t="n">
        <f aca="false">($B33*$B$7+$C33*$C$7)/100</f>
        <v>0.005134</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Calliergonella cuspidata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1228</v>
      </c>
      <c r="Q33" s="486" t="n">
        <f aca="false">IF(ISTEXT(H33),"",(B33*$B$7/100)+(C33*$C$7/100))</f>
        <v>0.005134</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X33" s="489"/>
      <c r="Y33" s="490" t="str">
        <f aca="false">IF(A33="new.cod","NEWCOD",IF(AND((Z33=""),ISTEXT(A33)),A33,IF(Z33="","",INDEX('liste reference'!$A$8:$A$904,Z33))))</f>
        <v>CAECUS</v>
      </c>
      <c r="Z33" s="280" t="n">
        <f aca="false">IF(ISERROR(MATCH(A33,'liste reference'!$A$8:$A$904,0)),IF(ISERROR(MATCH(A33,'liste reference'!$B$8:$B$904,0)),"",(MATCH(A33,'liste reference'!$B$8:$B$904,0))),(MATCH(A33,'liste reference'!$A$8:$A$904,0)))</f>
        <v>169</v>
      </c>
      <c r="AA33" s="491"/>
      <c r="AB33" s="492"/>
      <c r="AC33" s="492"/>
      <c r="BB33" s="280" t="n">
        <f aca="false">IF(A33="","",1)</f>
        <v>1</v>
      </c>
    </row>
    <row r="34" customFormat="false" ht="12.75" hidden="false" customHeight="false" outlineLevel="0" collapsed="false">
      <c r="A34" s="493" t="s">
        <v>1054</v>
      </c>
      <c r="B34" s="494" t="n">
        <v>0.005</v>
      </c>
      <c r="C34" s="495" t="n">
        <v>0.01</v>
      </c>
      <c r="D34" s="477" t="str">
        <f aca="false">IF(ISERROR(VLOOKUP($A34,'liste reference'!$A$7:$D$904,2,0)),IF(ISERROR(VLOOKUP($A34,'liste reference'!$B$7:$D$904,1,0)),"",VLOOKUP($A34,'liste reference'!$B$7:$D$904,1,0)),VLOOKUP($A34,'liste reference'!$A$7:$D$904,2,0))</f>
        <v>Rhynchostegium riparioides</v>
      </c>
      <c r="E34" s="496" t="e">
        <f aca="false">IF(D34="",0,VLOOKUP(D34,D$22:D33,1,0))</f>
        <v>#N/A</v>
      </c>
      <c r="F34" s="500" t="n">
        <f aca="false">($B34*$B$7+$C34*$C$7)/100</f>
        <v>0.00665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1268</v>
      </c>
      <c r="Q34" s="486" t="n">
        <f aca="false">IF(ISTEXT(H34),"",(B34*$B$7/100)+(C34*$C$7/100))</f>
        <v>0.00665</v>
      </c>
      <c r="R34" s="487" t="n">
        <f aca="false">IF(OR(ISTEXT(H34),Q34=0),"",IF(Q34&lt;0.1,1,IF(Q34&lt;1,2,IF(Q34&lt;10,3,IF(Q34&lt;50,4,IF(Q34&gt;=50,5,""))))))</f>
        <v>1</v>
      </c>
      <c r="S34" s="487" t="n">
        <f aca="false">IF(ISERROR(R34*I34),0,R34*I34)</f>
        <v>12</v>
      </c>
      <c r="T34" s="487" t="n">
        <f aca="false">IF(ISERROR(R34*I34*J34),0,R34*I34*J34)</f>
        <v>12</v>
      </c>
      <c r="U34" s="499" t="n">
        <f aca="false">IF(ISERROR(R34*J34),0,R34*J34)</f>
        <v>1</v>
      </c>
      <c r="V34" s="488" t="str">
        <f aca="false">IF(AND(A34="",F34=0),"",IF(F34=0,"Il manque le(s) % de rec. !",""))</f>
        <v/>
      </c>
      <c r="W34" s="489"/>
      <c r="Y34" s="490" t="str">
        <f aca="false">IF(A34="new.cod","NEWCOD",IF(AND((Z34=""),ISTEXT(A34)),A34,IF(Z34="","",INDEX('liste reference'!$A$8:$A$904,Z34))))</f>
        <v>RHYRIP</v>
      </c>
      <c r="Z34" s="280" t="n">
        <f aca="false">IF(ISERROR(MATCH(A34,'liste reference'!$A$8:$A$904,0)),IF(ISERROR(MATCH(A34,'liste reference'!$B$8:$B$904,0)),"",(MATCH(A34,'liste reference'!$B$8:$B$904,0))),(MATCH(A34,'liste reference'!$A$8:$A$904,0)))</f>
        <v>252</v>
      </c>
      <c r="AA34" s="491"/>
      <c r="AB34" s="492"/>
      <c r="AC34" s="492"/>
      <c r="BB34" s="280" t="n">
        <f aca="false">IF(A34="","",1)</f>
        <v>1</v>
      </c>
    </row>
    <row r="35" customFormat="false" ht="12.75" hidden="false" customHeight="false" outlineLevel="0" collapsed="false">
      <c r="A35" s="493" t="s">
        <v>1153</v>
      </c>
      <c r="B35" s="494" t="n">
        <v>0.01</v>
      </c>
      <c r="C35" s="495" t="n">
        <v>0.005</v>
      </c>
      <c r="D35" s="477" t="str">
        <f aca="false">IF(ISERROR(VLOOKUP($A35,'liste reference'!$A$7:$D$904,2,0)),IF(ISERROR(VLOOKUP($A35,'liste reference'!$B$7:$D$904,1,0)),"",VLOOKUP($A35,'liste reference'!$B$7:$D$904,1,0)),VLOOKUP($A35,'liste reference'!$A$7:$D$904,2,0))</f>
        <v>Equisetum arvense</v>
      </c>
      <c r="E35" s="496" t="e">
        <f aca="false">IF(D35="",0,VLOOKUP(D35,D$22:D34,1,0))</f>
        <v>#N/A</v>
      </c>
      <c r="F35" s="500" t="n">
        <f aca="false">($B35*$B$7+$C35*$C$7)/100</f>
        <v>0.00835</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1384</v>
      </c>
      <c r="Q35" s="486" t="n">
        <f aca="false">IF(ISTEXT(H35),"",(B35*$B$7/100)+(C35*$C$7/100))</f>
        <v>0.00835</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EQUARV</v>
      </c>
      <c r="Z35" s="280" t="n">
        <f aca="false">IF(ISERROR(MATCH(A35,'liste reference'!$A$8:$A$904,0)),IF(ISERROR(MATCH(A35,'liste reference'!$B$8:$B$904,0)),"",(MATCH(A35,'liste reference'!$B$8:$B$904,0))),(MATCH(A35,'liste reference'!$A$8:$A$904,0)))</f>
        <v>278</v>
      </c>
      <c r="AA35" s="491"/>
      <c r="AB35" s="492"/>
      <c r="AC35" s="492"/>
      <c r="BB35" s="280" t="n">
        <f aca="false">IF(A35="","",1)</f>
        <v>1</v>
      </c>
    </row>
    <row r="36" customFormat="false" ht="12.75" hidden="false" customHeight="false" outlineLevel="0" collapsed="false">
      <c r="A36" s="493" t="s">
        <v>1197</v>
      </c>
      <c r="B36" s="494" t="n">
        <v>0.1</v>
      </c>
      <c r="C36" s="495" t="n">
        <v>0.15</v>
      </c>
      <c r="D36" s="477" t="str">
        <f aca="false">IF(ISERROR(VLOOKUP($A36,'liste reference'!$A$7:$D$904,2,0)),IF(ISERROR(VLOOKUP($A36,'liste reference'!$B$7:$D$904,1,0)),"",VLOOKUP($A36,'liste reference'!$B$7:$D$904,1,0)),VLOOKUP($A36,'liste reference'!$A$7:$D$904,2,0))</f>
        <v>Osmunda regalis</v>
      </c>
      <c r="E36" s="496" t="e">
        <f aca="false">IF(D36="",0,VLOOKUP(D36,D$22:D35,1,0))</f>
        <v>#N/A</v>
      </c>
      <c r="F36" s="500" t="n">
        <f aca="false">($B36*$B$7+$C36*$C$7)/100</f>
        <v>0.1165</v>
      </c>
      <c r="G36" s="479" t="str">
        <f aca="false">IF(A36="","",IF(ISERROR(VLOOKUP($A36,'liste reference'!$A$7:$P$904,13,0)),IF(ISERROR(VLOOKUP($A36,'liste reference'!$B$7:$P$904,12,0)),"    -",VLOOKUP($A36,'liste reference'!$B$7:$P$904,12,0)),VLOOKUP($A36,'liste reference'!$A$7:$P$904,13,0)))</f>
        <v>PTE</v>
      </c>
      <c r="H36" s="480" t="n">
        <f aca="false">IF(A36="","x",IF(ISERROR(VLOOKUP($A36,'liste reference'!$A$8:$P$904,14,0)),IF(ISERROR(VLOOKUP($A36,'liste reference'!$B$8:$P$904,13,0)),"x",VLOOKUP($A36,'liste reference'!$B$8:$P$904,13,0)),VLOOKUP($A36,'liste reference'!$A$8:$P$904,14,0)))</f>
        <v>6</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Osmunda regalis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1403</v>
      </c>
      <c r="Q36" s="486" t="n">
        <f aca="false">IF(ISTEXT(H36),"",(B36*$B$7/100)+(C36*$C$7/100))</f>
        <v>0.1165</v>
      </c>
      <c r="R36" s="487" t="n">
        <f aca="false">IF(OR(ISTEXT(H36),Q36=0),"",IF(Q36&lt;0.1,1,IF(Q36&lt;1,2,IF(Q36&lt;10,3,IF(Q36&lt;50,4,IF(Q36&gt;=50,5,""))))))</f>
        <v>2</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OSMREG</v>
      </c>
      <c r="Z36" s="280" t="n">
        <f aca="false">IF(ISERROR(MATCH(A36,'liste reference'!$A$8:$A$904,0)),IF(ISERROR(MATCH(A36,'liste reference'!$B$8:$B$904,0)),"",(MATCH(A36,'liste reference'!$B$8:$B$904,0))),(MATCH(A36,'liste reference'!$A$8:$A$904,0)))</f>
        <v>298</v>
      </c>
      <c r="AA36" s="491"/>
      <c r="AB36" s="492"/>
      <c r="AC36" s="492"/>
      <c r="BB36" s="280" t="n">
        <f aca="false">IF(A36="","",1)</f>
        <v>1</v>
      </c>
    </row>
    <row r="37" customFormat="false" ht="12.75" hidden="false" customHeight="false" outlineLevel="0" collapsed="false">
      <c r="A37" s="493" t="s">
        <v>1847</v>
      </c>
      <c r="B37" s="494" t="n">
        <v>0.005</v>
      </c>
      <c r="C37" s="495"/>
      <c r="D37" s="477" t="str">
        <f aca="false">IF(ISERROR(VLOOKUP($A37,'liste reference'!$A$7:$D$904,2,0)),IF(ISERROR(VLOOKUP($A37,'liste reference'!$B$7:$D$904,1,0)),"",VLOOKUP($A37,'liste reference'!$B$7:$D$904,1,0)),VLOOKUP($A37,'liste reference'!$A$7:$D$904,2,0))</f>
        <v>Eupatorium cannabinum</v>
      </c>
      <c r="E37" s="496" t="e">
        <f aca="false">IF(D37="",0,VLOOKUP(D37,D$22:D36,1,0))</f>
        <v>#N/A</v>
      </c>
      <c r="F37" s="500" t="n">
        <f aca="false">($B37*$B$7+$C37*$C$7)/100</f>
        <v>0.00335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Eupatorium cannabinum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1741</v>
      </c>
      <c r="Q37" s="486" t="n">
        <f aca="false">IF(ISTEXT(H37),"",(B37*$B$7/100)+(C37*$C$7/100))</f>
        <v>0.00335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EUPCAN</v>
      </c>
      <c r="Z37" s="280" t="n">
        <f aca="false">IF(ISERROR(MATCH(A37,'liste reference'!$A$8:$A$904,0)),IF(ISERROR(MATCH(A37,'liste reference'!$B$8:$B$904,0)),"",(MATCH(A37,'liste reference'!$B$8:$B$904,0))),(MATCH(A37,'liste reference'!$A$8:$A$904,0)))</f>
        <v>568</v>
      </c>
      <c r="AA37" s="491"/>
      <c r="AB37" s="492"/>
      <c r="AC37" s="492"/>
      <c r="BB37" s="280" t="n">
        <f aca="false">IF(A37="","",1)</f>
        <v>1</v>
      </c>
    </row>
    <row r="38" customFormat="false" ht="12.75" hidden="false" customHeight="false" outlineLevel="0" collapsed="false">
      <c r="A38" s="493" t="s">
        <v>1936</v>
      </c>
      <c r="B38" s="494" t="n">
        <v>0.05</v>
      </c>
      <c r="C38" s="495" t="n">
        <v>0.05</v>
      </c>
      <c r="D38" s="477" t="str">
        <f aca="false">IF(ISERROR(VLOOKUP($A38,'liste reference'!$A$7:$D$904,2,0)),IF(ISERROR(VLOOKUP($A38,'liste reference'!$B$7:$D$904,1,0)),"",VLOOKUP($A38,'liste reference'!$B$7:$D$904,1,0)),VLOOKUP($A38,'liste reference'!$A$7:$D$904,2,0))</f>
        <v>Mentha aquatica</v>
      </c>
      <c r="E38" s="496" t="e">
        <f aca="false">IF(D38="",0,VLOOKUP(D38,D$22:D37,1,0))</f>
        <v>#N/A</v>
      </c>
      <c r="F38" s="500" t="n">
        <f aca="false">($B38*$B$7+$C38*$C$7)/100</f>
        <v>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12</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Mentha aquatica</v>
      </c>
      <c r="L38" s="498"/>
      <c r="M38" s="498"/>
      <c r="N38" s="498"/>
      <c r="O38" s="484" t="s">
        <v>2685</v>
      </c>
      <c r="P38" s="485" t="n">
        <f aca="false">IF($A38="NEWCOD",IF($AC38="","No",$AC38),IF(ISTEXT($E38),"DEJA SAISI !",IF($A38="","",IF(ISERROR(VLOOKUP($A38,'liste reference'!A:S,19,FALSE())),IF(ISERROR(VLOOKUP($A38,'liste reference'!B:S,19,FALSE())),"",VLOOKUP($A38,'liste reference'!B:S,19,FALSE())),VLOOKUP($A38,'liste reference'!A:S,19,FALSE())))))</f>
        <v>1791</v>
      </c>
      <c r="Q38" s="486" t="n">
        <f aca="false">IF(ISTEXT(H38),"",(B38*$B$7/100)+(C38*$C$7/100))</f>
        <v>0.05</v>
      </c>
      <c r="R38" s="487" t="n">
        <f aca="false">IF(OR(ISTEXT(H38),Q38=0),"",IF(Q38&lt;0.1,1,IF(Q38&lt;1,2,IF(Q38&lt;10,3,IF(Q38&lt;50,4,IF(Q38&gt;=50,5,""))))))</f>
        <v>1</v>
      </c>
      <c r="S38" s="487" t="n">
        <f aca="false">IF(ISERROR(R38*I38),0,R38*I38)</f>
        <v>12</v>
      </c>
      <c r="T38" s="487" t="n">
        <f aca="false">IF(ISERROR(R38*I38*J38),0,R38*I38*J38)</f>
        <v>12</v>
      </c>
      <c r="U38" s="499" t="n">
        <f aca="false">IF(ISERROR(R38*J38),0,R38*J38)</f>
        <v>1</v>
      </c>
      <c r="V38" s="488" t="str">
        <f aca="false">IF(AND(A38="",F38=0),"",IF(F38=0,"Il manque le(s) % de rec. !",""))</f>
        <v/>
      </c>
      <c r="W38" s="501"/>
      <c r="Y38" s="490" t="str">
        <f aca="false">IF(A38="new.cod","NEWCOD",IF(AND((Z38=""),ISTEXT(A38)),A38,IF(Z38="","",INDEX('liste reference'!$A$8:$A$904,Z38))))</f>
        <v>MENAQU</v>
      </c>
      <c r="Z38" s="280" t="n">
        <f aca="false">IF(ISERROR(MATCH(A38,'liste reference'!$A$8:$A$904,0)),IF(ISERROR(MATCH(A38,'liste reference'!$B$8:$B$904,0)),"",(MATCH(A38,'liste reference'!$B$8:$B$904,0))),(MATCH(A38,'liste reference'!$A$8:$A$904,0)))</f>
        <v>607</v>
      </c>
      <c r="AA38" s="491" t="s">
        <v>2685</v>
      </c>
      <c r="AB38" s="492"/>
      <c r="AC38" s="492"/>
      <c r="BB38" s="280" t="n">
        <f aca="false">IF(A38="","",1)</f>
        <v>1</v>
      </c>
    </row>
    <row r="39" customFormat="false" ht="12.75" hidden="false" customHeight="false" outlineLevel="0" collapsed="false">
      <c r="A39" s="493" t="s">
        <v>2000</v>
      </c>
      <c r="B39" s="494" t="n">
        <v>0.01</v>
      </c>
      <c r="C39" s="495" t="n">
        <v>0.005</v>
      </c>
      <c r="D39" s="477" t="str">
        <f aca="false">IF(ISERROR(VLOOKUP($A39,'liste reference'!$A$7:$D$904,2,0)),IF(ISERROR(VLOOKUP($A39,'liste reference'!$B$7:$D$904,1,0)),"",VLOOKUP($A39,'liste reference'!$B$7:$D$904,1,0)),VLOOKUP($A39,'liste reference'!$A$7:$D$904,2,0))</f>
        <v>Phalaris arundinacea</v>
      </c>
      <c r="E39" s="496" t="e">
        <f aca="false">IF(D39="",0,VLOOKUP(D39,D$22:D38,1,0))</f>
        <v>#N/A</v>
      </c>
      <c r="F39" s="500" t="n">
        <f aca="false">($B39*$B$7+$C39*$C$7)/100</f>
        <v>0.00835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Phalaris arundinacea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1577</v>
      </c>
      <c r="Q39" s="486" t="n">
        <f aca="false">IF(ISTEXT(H39),"",(B39*$B$7/100)+(C39*$C$7/100))</f>
        <v>0.00835</v>
      </c>
      <c r="R39" s="487" t="n">
        <f aca="false">IF(OR(ISTEXT(H39),Q39=0),"",IF(Q39&lt;0.1,1,IF(Q39&lt;1,2,IF(Q39&lt;10,3,IF(Q39&lt;50,4,IF(Q39&gt;=50,5,""))))))</f>
        <v>1</v>
      </c>
      <c r="S39" s="487" t="n">
        <f aca="false">IF(ISERROR(R39*I39),0,R39*I39)</f>
        <v>10</v>
      </c>
      <c r="T39" s="487" t="n">
        <f aca="false">IF(ISERROR(R39*I39*J39),0,R39*I39*J39)</f>
        <v>10</v>
      </c>
      <c r="U39" s="499" t="n">
        <f aca="false">IF(ISERROR(R39*J39),0,R39*J39)</f>
        <v>1</v>
      </c>
      <c r="V39" s="488" t="str">
        <f aca="false">IF(AND(A39="",F39=0),"",IF(F39=0,"Il manque le(s) % de rec. !",""))</f>
        <v/>
      </c>
      <c r="W39" s="489"/>
      <c r="Y39" s="490" t="str">
        <f aca="false">IF(A39="new.cod","NEWCOD",IF(AND((Z39=""),ISTEXT(A39)),A39,IF(Z39="","",INDEX('liste reference'!$A$8:$A$904,Z39))))</f>
        <v>PHAARU</v>
      </c>
      <c r="Z39" s="280" t="n">
        <f aca="false">IF(ISERROR(MATCH(A39,'liste reference'!$A$8:$A$904,0)),IF(ISERROR(MATCH(A39,'liste reference'!$B$8:$B$904,0)),"",(MATCH(A39,'liste reference'!$B$8:$B$904,0))),(MATCH(A39,'liste reference'!$A$8:$A$904,0)))</f>
        <v>634</v>
      </c>
      <c r="AA39" s="491"/>
      <c r="AB39" s="492"/>
      <c r="AC39" s="492"/>
      <c r="BB39" s="280" t="n">
        <f aca="false">IF(A39="","",1)</f>
        <v>1</v>
      </c>
    </row>
    <row r="40" customFormat="false" ht="12.75" hidden="false" customHeight="false" outlineLevel="0" collapsed="false">
      <c r="A40" s="493" t="s">
        <v>2098</v>
      </c>
      <c r="B40" s="494"/>
      <c r="C40" s="495" t="n">
        <v>0.005</v>
      </c>
      <c r="D40" s="477" t="str">
        <f aca="false">IF(ISERROR(VLOOKUP($A40,'liste reference'!$A$7:$D$904,2,0)),IF(ISERROR(VLOOKUP($A40,'liste reference'!$B$7:$D$904,1,0)),"",VLOOKUP($A40,'liste reference'!$B$7:$D$904,1,0)),VLOOKUP($A40,'liste reference'!$A$7:$D$904,2,0))</f>
        <v>Typha latifolia</v>
      </c>
      <c r="E40" s="496" t="e">
        <f aca="false">IF(D40="",0,VLOOKUP(D40,D$22:D39,1,0))</f>
        <v>#N/A</v>
      </c>
      <c r="F40" s="500" t="n">
        <f aca="false">($B40*$B$7+$C40*$C$7)/100</f>
        <v>0.00165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8</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Typha latifolia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1676</v>
      </c>
      <c r="Q40" s="486" t="n">
        <f aca="false">IF(ISTEXT(H40),"",(B40*$B$7/100)+(C40*$C$7/100))</f>
        <v>0.00165</v>
      </c>
      <c r="R40" s="487" t="n">
        <f aca="false">IF(OR(ISTEXT(H40),Q40=0),"",IF(Q40&lt;0.1,1,IF(Q40&lt;1,2,IF(Q40&lt;10,3,IF(Q40&lt;50,4,IF(Q40&gt;=50,5,""))))))</f>
        <v>1</v>
      </c>
      <c r="S40" s="487" t="n">
        <f aca="false">IF(ISERROR(R40*I40),0,R40*I40)</f>
        <v>8</v>
      </c>
      <c r="T40" s="487" t="n">
        <f aca="false">IF(ISERROR(R40*I40*J40),0,R40*I40*J40)</f>
        <v>8</v>
      </c>
      <c r="U40" s="499" t="n">
        <f aca="false">IF(ISERROR(R40*J40),0,R40*J40)</f>
        <v>1</v>
      </c>
      <c r="V40" s="488" t="str">
        <f aca="false">IF(AND(A40="",F40=0),"",IF(F40=0,"Il manque le(s) % de rec. !",""))</f>
        <v/>
      </c>
      <c r="W40" s="489"/>
      <c r="Y40" s="490" t="str">
        <f aca="false">IF(A40="new.cod","NEWCOD",IF(AND((Z40=""),ISTEXT(A40)),A40,IF(Z40="","",INDEX('liste reference'!$A$8:$A$904,Z40))))</f>
        <v>TYPLAT</v>
      </c>
      <c r="Z40" s="280" t="n">
        <f aca="false">IF(ISERROR(MATCH(A40,'liste reference'!$A$8:$A$904,0)),IF(ISERROR(MATCH(A40,'liste reference'!$B$8:$B$904,0)),"",(MATCH(A40,'liste reference'!$B$8:$B$904,0))),(MATCH(A40,'liste reference'!$A$8:$A$904,0)))</f>
        <v>677</v>
      </c>
      <c r="AA40" s="491"/>
      <c r="AB40" s="492"/>
      <c r="AC40" s="492"/>
      <c r="BB40" s="280" t="n">
        <f aca="false">IF(A40="","",1)</f>
        <v>1</v>
      </c>
    </row>
    <row r="41" customFormat="false" ht="12.75" hidden="false" customHeight="false" outlineLevel="0" collapsed="false">
      <c r="A41" s="493" t="s">
        <v>2204</v>
      </c>
      <c r="B41" s="494"/>
      <c r="C41" s="495" t="n">
        <v>0.01</v>
      </c>
      <c r="D41" s="477" t="str">
        <f aca="false">IF(ISERROR(VLOOKUP($A41,'liste reference'!$A$7:$D$904,2,0)),IF(ISERROR(VLOOKUP($A41,'liste reference'!$B$7:$D$904,1,0)),"",VLOOKUP($A41,'liste reference'!$B$7:$D$904,1,0)),VLOOKUP($A41,'liste reference'!$A$7:$D$904,2,0))</f>
        <v>Cyperus longus</v>
      </c>
      <c r="E41" s="496" t="e">
        <f aca="false">IF(D41="",0,VLOOKUP(D41,D$22:D40,1,0))</f>
        <v>#N/A</v>
      </c>
      <c r="F41" s="500" t="n">
        <f aca="false">($B41*$B$7+$C41*$C$7)/100</f>
        <v>0.0033</v>
      </c>
      <c r="G41" s="479" t="str">
        <f aca="false">IF(A41="","",IF(ISERROR(VLOOKUP($A41,'liste reference'!$A$7:$P$904,13,0)),IF(ISERROR(VLOOKUP($A41,'liste reference'!$B$7:$P$904,12,0)),"    -",VLOOKUP($A41,'liste reference'!$B$7:$P$904,12,0)),VLOOKUP($A41,'liste reference'!$A$7:$P$904,13,0)))</f>
        <v>PHg</v>
      </c>
      <c r="H41" s="480" t="n">
        <f aca="false">IF(A41="","x",IF(ISERROR(VLOOKUP($A41,'liste reference'!$A$8:$P$904,14,0)),IF(ISERROR(VLOOKUP($A41,'liste reference'!$B$8:$P$904,13,0)),"x",VLOOKUP($A41,'liste reference'!$B$8:$P$904,13,0)),VLOOKUP($A41,'liste reference'!$A$8:$P$904,14,0)))</f>
        <v>9</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Cyperus longus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1500</v>
      </c>
      <c r="Q41" s="486" t="n">
        <f aca="false">IF(ISTEXT(H41),"",(B41*$B$7/100)+(C41*$C$7/100))</f>
        <v>0.0033</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CYPLON</v>
      </c>
      <c r="Z41" s="280" t="n">
        <f aca="false">IF(ISERROR(MATCH(A41,'liste reference'!$A$8:$A$904,0)),IF(ISERROR(MATCH(A41,'liste reference'!$B$8:$B$904,0)),"",(MATCH(A41,'liste reference'!$B$8:$B$904,0))),(MATCH(A41,'liste reference'!$A$8:$A$904,0)))</f>
        <v>724</v>
      </c>
      <c r="AA41" s="491"/>
      <c r="AB41" s="492"/>
      <c r="AC41" s="492"/>
      <c r="BB41" s="280" t="n">
        <f aca="false">IF(A41="","",1)</f>
        <v>1</v>
      </c>
    </row>
    <row r="42" customFormat="false" ht="12.75" hidden="false" customHeight="false" outlineLevel="0" collapsed="false">
      <c r="A42" s="493" t="s">
        <v>2307</v>
      </c>
      <c r="B42" s="494" t="n">
        <v>0.005</v>
      </c>
      <c r="C42" s="495" t="n">
        <v>0.005</v>
      </c>
      <c r="D42" s="477" t="str">
        <f aca="false">IF(ISERROR(VLOOKUP($A42,'liste reference'!$A$7:$D$904,2,0)),IF(ISERROR(VLOOKUP($A42,'liste reference'!$B$7:$D$904,1,0)),"",VLOOKUP($A42,'liste reference'!$B$7:$D$904,1,0)),VLOOKUP($A42,'liste reference'!$A$7:$D$904,2,0))</f>
        <v>Juncus articulatus</v>
      </c>
      <c r="E42" s="496" t="e">
        <f aca="false">IF(D42="",0,VLOOKUP(D42,D$22:D41,1,0))</f>
        <v>#N/A</v>
      </c>
      <c r="F42" s="500" t="n">
        <f aca="false">($B42*$B$7+$C42*$C$7)/100</f>
        <v>0.005</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articulatus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1609</v>
      </c>
      <c r="Q42" s="486" t="n">
        <f aca="false">IF(ISTEXT(H42),"",(B42*$B$7/100)+(C42*$C$7/100))</f>
        <v>0.005</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JUNART</v>
      </c>
      <c r="Z42" s="280" t="n">
        <f aca="false">IF(ISERROR(MATCH(A42,'liste reference'!$A$8:$A$904,0)),IF(ISERROR(MATCH(A42,'liste reference'!$B$8:$B$904,0)),"",(MATCH(A42,'liste reference'!$B$8:$B$904,0))),(MATCH(A42,'liste reference'!$A$8:$A$904,0)))</f>
        <v>768</v>
      </c>
      <c r="AA42" s="491"/>
      <c r="AB42" s="492"/>
      <c r="AC42" s="492"/>
      <c r="BB42" s="280" t="n">
        <f aca="false">IF(A42="","",1)</f>
        <v>1</v>
      </c>
    </row>
    <row r="43" customFormat="false" ht="12.75" hidden="false" customHeight="false" outlineLevel="0" collapsed="false">
      <c r="A43" s="493" t="s">
        <v>2686</v>
      </c>
      <c r="B43" s="494"/>
      <c r="C43" s="495" t="n">
        <v>0.05</v>
      </c>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0.0165</v>
      </c>
      <c r="G43" s="479" t="str">
        <f aca="false">IF(A43="","",IF(ISERROR(VLOOKUP($A43,'liste reference'!$A$7:$P$904,13,0)),IF(ISERROR(VLOOKUP($A43,'liste reference'!$B$7:$P$904,12,0)),"    -",VLOOKUP($A43,'liste reference'!$B$7:$P$904,12,0)),VLOOKUP($A43,'liste reference'!$A$7:$P$904,13,0)))</f>
        <v>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Klebsormidium sp</v>
      </c>
      <c r="L43" s="498"/>
      <c r="M43" s="498"/>
      <c r="N43" s="498"/>
      <c r="O43" s="484" t="s">
        <v>2685</v>
      </c>
      <c r="P43" s="485" t="str">
        <f aca="false">IF($A43="NEWCOD",IF($AC43="","No",$AC43),IF(ISTEXT($E43),"DEJA SAISI !",IF($A43="","",IF(ISERROR(VLOOKUP($A43,'liste reference'!A:S,19,FALSE())),IF(ISERROR(VLOOKUP($A43,'liste reference'!B:S,19,FALSE())),"",VLOOKUP($A43,'liste reference'!B:S,19,FALSE())),VLOOKUP($A43,'liste reference'!A:S,19,FALSE())))))</f>
        <v>No</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NEWCOD</v>
      </c>
      <c r="Z43" s="280" t="str">
        <f aca="false">IF(ISERROR(MATCH(A43,'liste reference'!$A$8:$A$904,0)),IF(ISERROR(MATCH(A43,'liste reference'!$B$8:$B$904,0)),"",(MATCH(A43,'liste reference'!$B$8:$B$904,0))),(MATCH(A43,'liste reference'!$A$8:$A$904,0)))</f>
        <v/>
      </c>
      <c r="AA43" s="491" t="s">
        <v>2685</v>
      </c>
      <c r="AB43" s="492" t="s">
        <v>2687</v>
      </c>
      <c r="AC43" s="492"/>
      <c r="BB43" s="280" t="n">
        <f aca="false">IF(A43="","",1)</f>
        <v>1</v>
      </c>
    </row>
    <row r="44" customFormat="false" ht="12.75" hidden="false" customHeight="false" outlineLevel="0" collapsed="false">
      <c r="A44" s="493" t="s">
        <v>2686</v>
      </c>
      <c r="B44" s="494" t="n">
        <v>0.005</v>
      </c>
      <c r="C44" s="495" t="n">
        <v>0.005</v>
      </c>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0.005</v>
      </c>
      <c r="G44" s="479" t="str">
        <f aca="false">IF(A44="","",IF(ISERROR(VLOOKUP($A44,'liste reference'!$A$7:$P$904,13,0)),IF(ISERROR(VLOOKUP($A44,'liste reference'!$B$7:$P$904,12,0)),"    -",VLOOKUP($A44,'liste reference'!$B$7:$P$904,12,0)),VLOOKUP($A44,'liste reference'!$A$7:$P$904,13,0)))</f>
        <v>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Bellium bellioides</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No</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NEWCOD</v>
      </c>
      <c r="Z44" s="280" t="str">
        <f aca="false">IF(ISERROR(MATCH(A44,'liste reference'!$A$8:$A$904,0)),IF(ISERROR(MATCH(A44,'liste reference'!$B$8:$B$904,0)),"",(MATCH(A44,'liste reference'!$B$8:$B$904,0))),(MATCH(A44,'liste reference'!$A$8:$A$904,0)))</f>
        <v/>
      </c>
      <c r="AA44" s="491"/>
      <c r="AB44" s="492" t="s">
        <v>2688</v>
      </c>
      <c r="AC44" s="492"/>
      <c r="BB44" s="280" t="n">
        <f aca="false">IF(A44="","",1)</f>
        <v>1</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TRAVO</v>
      </c>
      <c r="B84" s="529" t="str">
        <f aca="false">C3</f>
        <v>Ventiseri</v>
      </c>
      <c r="C84" s="530" t="n">
        <f aca="false">A4</f>
        <v>41451</v>
      </c>
      <c r="D84" s="531" t="n">
        <f aca="false">IF(ISERROR(SUM($T$23:$T$82)/SUM($U$23:$U$82)),"",SUM($T$23:$T$82)/SUM($U$23:$U$82))</f>
        <v>12.0625</v>
      </c>
      <c r="E84" s="532" t="n">
        <f aca="false">N13</f>
        <v>22</v>
      </c>
      <c r="F84" s="529" t="n">
        <f aca="false">N14</f>
        <v>20</v>
      </c>
      <c r="G84" s="529" t="n">
        <f aca="false">N15</f>
        <v>6</v>
      </c>
      <c r="H84" s="529" t="n">
        <f aca="false">N16</f>
        <v>4</v>
      </c>
      <c r="I84" s="529" t="n">
        <f aca="false">N17</f>
        <v>0</v>
      </c>
      <c r="J84" s="533" t="n">
        <f aca="false">N8</f>
        <v>5.85</v>
      </c>
      <c r="K84" s="531" t="n">
        <f aca="false">N9</f>
        <v>6.09323395250831</v>
      </c>
      <c r="L84" s="532" t="n">
        <f aca="false">N10</f>
        <v>0</v>
      </c>
      <c r="M84" s="532" t="n">
        <f aca="false">N11</f>
        <v>16</v>
      </c>
      <c r="N84" s="531" t="n">
        <f aca="false">O8</f>
        <v>0.7</v>
      </c>
      <c r="O84" s="531" t="n">
        <f aca="false">O9</f>
        <v>0.781024967590666</v>
      </c>
      <c r="P84" s="532" t="n">
        <f aca="false">O10</f>
        <v>0</v>
      </c>
      <c r="Q84" s="532" t="n">
        <f aca="false">O11</f>
        <v>2</v>
      </c>
      <c r="R84" s="532" t="n">
        <f aca="false">F21</f>
        <v>1.889884</v>
      </c>
      <c r="S84" s="532" t="n">
        <f aca="false">K11</f>
        <v>0</v>
      </c>
      <c r="T84" s="532" t="n">
        <f aca="false">K12</f>
        <v>9</v>
      </c>
      <c r="U84" s="532" t="n">
        <f aca="false">K13</f>
        <v>3</v>
      </c>
      <c r="V84" s="534" t="n">
        <f aca="false">K14</f>
        <v>2</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30</v>
      </c>
      <c r="T87" s="280"/>
      <c r="U87" s="280"/>
      <c r="V87" s="280"/>
    </row>
    <row r="88" customFormat="false" ht="12.75" hidden="true" customHeight="false" outlineLevel="0" collapsed="false">
      <c r="P88" s="280"/>
      <c r="Q88" s="280" t="s">
        <v>2692</v>
      </c>
      <c r="R88" s="280"/>
      <c r="S88" s="488" t="n">
        <f aca="false">VLOOKUP((S87),($S$23:$U$82),2,0)</f>
        <v>30</v>
      </c>
      <c r="T88" s="280"/>
      <c r="U88" s="280"/>
      <c r="V88" s="280"/>
    </row>
    <row r="89" customFormat="false" ht="12.75" hidden="true" customHeight="false" outlineLevel="0" collapsed="false">
      <c r="Q89" s="280" t="s">
        <v>2693</v>
      </c>
      <c r="R89" s="280"/>
      <c r="S89" s="488" t="n">
        <f aca="false">VLOOKUP((S87),($S$23:$U$82),3,0)</f>
        <v>3</v>
      </c>
      <c r="T89" s="280"/>
    </row>
    <row r="90" customFormat="false" ht="12.75" hidden="false" customHeight="false" outlineLevel="0" collapsed="false">
      <c r="Q90" s="280" t="s">
        <v>2694</v>
      </c>
      <c r="R90" s="280"/>
      <c r="S90" s="538" t="n">
        <f aca="false">IF(ISERROR(SUM($T$23:$T$82)/SUM($U$23:$U$82)),"",(SUM($T$23:$T$82)-S88)/(SUM($U$23:$U$82)-S89))</f>
        <v>12.5384615384615</v>
      </c>
      <c r="T90" s="280"/>
    </row>
    <row r="91" customFormat="false" ht="12.75" hidden="false" customHeight="false" outlineLevel="0" collapsed="false">
      <c r="Q91" s="487" t="s">
        <v>2695</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2696</v>
      </c>
      <c r="R92" s="280"/>
      <c r="S92" s="280" t="n">
        <f aca="false">MATCH(S87,$S$23:$S$82,0)</f>
        <v>8</v>
      </c>
      <c r="T92" s="280"/>
    </row>
    <row r="93" customFormat="false" ht="12.75" hidden="false" customHeight="false" outlineLevel="0" collapsed="false">
      <c r="Q93" s="487" t="s">
        <v>2697</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2712</v>
      </c>
      <c r="G18" s="577"/>
      <c r="H18" s="576" t="s">
        <v>2712</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2014-06-03T08:52:17Z</dcterms:modified>
  <cp:revision>0</cp:revision>
  <dc:subject/>
  <dc:title>Feuille d'aide au calcul de l'IBMR</dc:title>
</cp:coreProperties>
</file>