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rgens au Thoronet" sheetId="6" state="visible" r:id="rId8"/>
    <sheet name="modele" sheetId="7" state="hidden" r:id="rId9"/>
    <sheet name="liste codes réf" sheetId="8" state="hidden" r:id="rId10"/>
  </sheets>
  <definedNames>
    <definedName function="false" hidden="false" localSheetId="5" name="_xlnm.Print_Area" vbProcedure="false">'Argens au Thoronet'!$A$1:$O$82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'Argens au Thoronet'!$A$23:$J$84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<sst xmlns="http://schemas.openxmlformats.org/spreadsheetml/2006/main" count="7352" uniqueCount="2730">
  <si>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</si>
  <si>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</si>
  <si>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</si>
  <si>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</si>
  <si>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</si>
  <si>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</si>
  <si>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</si>
  <si>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</si>
  <si>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</si>
  <si>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</si>
  <si>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</si>
  <si>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</si>
  <si>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</si>
  <si>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</si>
  <si>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</si>
  <si>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</si>
  <si>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</si>
  <si>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</si>
  <si>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</si>
  <si>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</si>
  <si>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</si>
  <si>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</si>
  <si>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</si>
  <si>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</si>
  <si>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</si>
  <si>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</si>
  <si>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</si>
  <si>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</si>
  <si>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</si>
  <si>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</si>
  <si>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</si>
  <si>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</si>
  <si>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</si>
  <si>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</si>
  <si>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</si>
  <si>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</si>
  <si>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</si>
  <si>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</si>
  <si>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</si>
  <si>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</si>
  <si>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</si>
  <si>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</si>
  <si>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</si>
  <si>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</si>
  <si>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</si>
  <si>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</si>
  <si>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</si>
  <si>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</si>
  <si>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</si>
  <si>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</si>
  <si>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</si>
  <si>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</si>
  <si>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</si>
  <si>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</si>
  <si>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</si>
  <si>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</si>
  <si>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</si>
  <si>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</si>
  <si>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</si>
  <si>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</si>
  <si>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</si>
  <si>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</si>
  <si>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</si>
  <si>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</si>
  <si>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</si>
  <si>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</si>
  <si>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</si>
  <si>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</si>
  <si>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</si>
  <si>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</si>
  <si>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</si>
  <si>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</si>
  <si>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</si>
  <si>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</si>
  <si>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</si>
  <si>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</si>
  <si>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</si>
  <si>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</si>
  <si>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</si>
  <si>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</si>
  <si>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</si>
  <si>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</si>
  <si>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</si>
  <si>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</si>
  <si>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</si>
  <si>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</si>
  <si>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</si>
  <si>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</si>
  <si>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</si>
  <si>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</si>
  <si>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</si>
  <si>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</si>
  <si>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</si>
  <si>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</si>
  <si>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</si>
  <si>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</si>
  <si>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</si>
  <si>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</si>
  <si>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</si>
  <si>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</si>
  <si>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</si>
  <si>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</si>
  <si>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</si>
  <si>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</si>
  <si>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</si>
  <si>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</si>
  <si>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</si>
  <si>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</si>
  <si>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</si>
  <si>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</si>
  <si>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</si>
  <si>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</si>
  <si>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</si>
  <si>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</si>
  <si>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</si>
  <si>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</si>
  <si>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</si>
  <si>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</si>
  <si>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</si>
  <si>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</si>
  <si>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</si>
  <si>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</si>
  <si>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</si>
  <si>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</si>
  <si>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</si>
  <si>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</si>
  <si>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</si>
  <si>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</si>
  <si>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</si>
  <si>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</si>
  <si>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</si>
  <si>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</si>
  <si>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</si>
  <si>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</si>
  <si>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</si>
  <si>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</si>
  <si>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</si>
  <si>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</si>
  <si>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</si>
  <si>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</si>
  <si>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</si>
  <si>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</si>
  <si>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</si>
  <si>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</si>
  <si>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</si>
  <si>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</si>
  <si>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</si>
  <si>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</si>
  <si>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</si>
  <si>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</si>
  <si>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</si>
  <si>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</si>
  <si>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</si>
  <si>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</si>
  <si>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</si>
  <si>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</si>
  <si>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</si>
  <si>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</si>
  <si>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</si>
  <si>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</si>
  <si>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</si>
  <si>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</si>
  <si>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</si>
  <si>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</si>
  <si>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</si>
  <si>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</si>
  <si>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</si>
  <si>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</si>
  <si>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</si>
  <si>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</si>
  <si>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</si>
  <si>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</si>
  <si>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</si>
  <si>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</si>
  <si>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</si>
  <si>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</si>
  <si>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</si>
  <si>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</si>
  <si>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</si>
  <si>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</si>
  <si>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</si>
  <si>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</si>
  <si>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</si>
  <si>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</si>
  <si>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</si>
  <si>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</si>
  <si>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</si>
  <si>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</si>
  <si>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</si>
  <si>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</si>
  <si>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</si>
  <si>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</si>
  <si>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</si>
  <si>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</si>
  <si>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</si>
  <si>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</si>
  <si>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</si>
  <si>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</si>
  <si>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</si>
  <si>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</si>
  <si>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</si>
  <si>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</si>
  <si>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</si>
  <si>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</si>
  <si>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</si>
  <si>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</si>
  <si>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</si>
  <si>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</si>
  <si>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</si>
  <si>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</si>
  <si>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</si>
  <si>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</si>
  <si>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</si>
  <si>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</si>
  <si>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</si>
  <si>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</si>
  <si>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</si>
  <si>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</si>
  <si>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</si>
  <si>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</si>
  <si>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</si>
  <si>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</si>
  <si>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</si>
  <si>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</si>
  <si>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</si>
  <si>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</si>
  <si>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</si>
  <si>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</si>
  <si>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</si>
  <si>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</si>
  <si>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</si>
  <si>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</si>
  <si>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</si>
  <si>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</si>
  <si>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</si>
  <si>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</si>
  <si>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</si>
  <si>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</si>
  <si>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</si>
  <si>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</si>
  <si>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</si>
  <si>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</si>
  <si>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</si>
  <si>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</si>
  <si>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</si>
  <si>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</si>
  <si>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</si>
  <si>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</si>
  <si>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</si>
  <si>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</si>
  <si>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</si>
  <si>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</si>
  <si>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</si>
  <si>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</si>
  <si>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</si>
  <si>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</si>
  <si>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</si>
  <si>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</si>
  <si>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</si>
  <si>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</si>
  <si>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</si>
  <si>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</si>
  <si>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</si>
  <si>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</si>
  <si>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</si>
  <si>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</si>
  <si>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</si>
  <si>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</si>
  <si>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</si>
  <si>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</si>
  <si>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</si>
  <si>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</si>
  <si>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</si>
  <si>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</si>
  <si>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</si>
  <si>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</si>
  <si>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</si>
  <si>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</si>
  <si>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</si>
  <si>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</si>
  <si>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</si>
  <si>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</si>
  <si>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</si>
  <si>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</si>
  <si>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</si>
  <si>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</si>
  <si>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</si>
  <si>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</si>
  <si>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</si>
  <si>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</si>
  <si>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</si>
  <si>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</si>
  <si>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</si>
  <si>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</si>
  <si>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</si>
  <si>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</si>
  <si>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</si>
  <si>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</si>
  <si>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</si>
  <si>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</si>
  <si>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</si>
  <si>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</si>
  <si>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</si>
  <si>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</si>
  <si>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</si>
  <si>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</si>
  <si>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</si>
  <si>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</si>
  <si>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</si>
  <si>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</si>
  <si>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</si>
  <si>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</si>
  <si>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</si>
  <si>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</si>
  <si>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</si>
  <si>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</si>
  <si>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</si>
  <si>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</si>
  <si>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</si>
  <si>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</si>
  <si>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</si>
  <si>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</si>
  <si>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</si>
  <si>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</si>
  <si>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</si>
  <si>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</si>
  <si>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</si>
  <si>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</si>
  <si>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</si>
  <si>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</si>
  <si>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</si>
  <si>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</si>
  <si>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</si>
  <si>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</si>
  <si>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</si>
  <si>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</si>
  <si>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</si>
  <si>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</si>
  <si>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</si>
  <si>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</si>
  <si>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</si>
  <si>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</si>
  <si>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</si>
  <si>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</si>
  <si>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</si>
  <si>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</si>
  <si>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</si>
  <si>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</si>
  <si>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</si>
  <si>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</si>
  <si>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</si>
  <si>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</si>
  <si>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</si>
  <si>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</si>
  <si>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</si>
  <si>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</si>
  <si>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</si>
  <si>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</si>
  <si>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</si>
  <si>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</si>
  <si>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</si>
  <si>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</si>
  <si>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</si>
  <si>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</si>
  <si>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</si>
  <si>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</si>
  <si>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</si>
  <si>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</si>
  <si>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</si>
  <si>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</si>
  <si>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</si>
  <si>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</si>
  <si>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</si>
  <si>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</si>
  <si>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</si>
  <si>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</si>
  <si>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</si>
  <si>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</si>
  <si>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</si>
  <si>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</si>
  <si>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</si>
  <si>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</si>
  <si>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</si>
  <si>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</si>
  <si>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</si>
  <si>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</si>
  <si>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</si>
  <si>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</si>
  <si>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</si>
  <si>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</si>
  <si>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</si>
  <si>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</si>
  <si>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</si>
  <si>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</si>
  <si>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</si>
  <si>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</si>
  <si>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</si>
  <si>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</si>
  <si>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</si>
  <si>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</si>
  <si>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</si>
  <si>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</si>
  <si>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</si>
  <si>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</si>
  <si>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</si>
  <si>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</si>
  <si>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</si>
  <si>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</si>
  <si>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</si>
  <si>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</si>
  <si>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</si>
  <si>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</si>
  <si>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</si>
  <si>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</si>
  <si>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</si>
  <si>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</si>
  <si>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</si>
  <si>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</si>
  <si>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</si>
  <si>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</si>
  <si>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</si>
  <si>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</si>
  <si>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</si>
  <si>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</si>
  <si>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</si>
  <si>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</si>
  <si>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</si>
  <si>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</si>
  <si>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</si>
  <si>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</si>
  <si>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</si>
  <si>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</si>
  <si>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</si>
  <si>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</si>
  <si>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</si>
  <si>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</si>
  <si>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</si>
  <si>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</si>
  <si>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</si>
  <si>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</si>
  <si>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</si>
  <si>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</si>
  <si>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</si>
  <si>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</si>
  <si>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</si>
  <si>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</si>
  <si>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</si>
  <si>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</si>
  <si>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</si>
  <si>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</si>
  <si>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</si>
  <si>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</si>
  <si>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</si>
  <si>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</si>
  <si>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</si>
  <si>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</si>
  <si>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</si>
  <si>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</si>
  <si>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</si>
  <si>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</si>
  <si>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</si>
  <si>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</si>
  <si>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</si>
  <si>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</si>
  <si>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</si>
  <si>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</si>
  <si>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</si>
  <si>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</si>
  <si>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</si>
  <si>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</si>
  <si>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</si>
  <si>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</si>
  <si>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</si>
  <si>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</si>
  <si>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</si>
  <si>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</si>
  <si>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</si>
  <si>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</si>
  <si>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</si>
  <si>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</si>
  <si>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</si>
  <si>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</si>
  <si>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</si>
  <si>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</si>
  <si>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</si>
  <si>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</si>
  <si>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</si>
  <si>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</si>
  <si>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</si>
  <si>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</si>
  <si>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</si>
  <si>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</si>
  <si>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</si>
  <si>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</si>
  <si>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</si>
  <si>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</si>
  <si>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</si>
  <si>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</si>
  <si>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</si>
  <si>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</si>
  <si>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</si>
  <si>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</si>
  <si>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</si>
  <si>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</si>
  <si>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</si>
  <si>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</si>
  <si>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</si>
  <si>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</si>
  <si>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</si>
  <si>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</si>
  <si>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</si>
  <si>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</si>
  <si>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</si>
  <si>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</si>
  <si>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</si>
  <si>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</si>
  <si>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</si>
  <si>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</si>
  <si>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</si>
  <si>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</si>
  <si>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</si>
  <si>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</si>
  <si>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</si>
  <si>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</si>
  <si>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</si>
  <si>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</si>
  <si>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</si>
  <si>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</si>
  <si>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</si>
  <si>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</si>
  <si>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</si>
  <si>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</si>
  <si>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</si>
  <si>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</si>
  <si>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</si>
  <si>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</si>
  <si>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</si>
  <si>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</si>
  <si>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</si>
  <si>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</si>
  <si>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</si>
  <si>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</si>
  <si>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</si>
  <si>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</si>
  <si>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</si>
  <si>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</si>
  <si>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</si>
  <si>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</si>
  <si>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</si>
  <si>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</si>
  <si>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</si>
  <si>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</si>
  <si>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</si>
  <si>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</si>
  <si>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</si>
  <si>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</si>
  <si>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</si>
  <si>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</si>
  <si>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</si>
  <si>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</si>
  <si>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</si>
  <si>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</si>
  <si>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</si>
  <si>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</si>
  <si>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</si>
  <si>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</si>
  <si>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</si>
  <si>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</si>
  <si>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</si>
  <si>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</si>
  <si>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</si>
  <si>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</si>
  <si>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</si>
  <si>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</si>
  <si>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</si>
  <si>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</si>
  <si>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</si>
  <si>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</si>
  <si>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</si>
  <si>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</si>
  <si>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</si>
  <si>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</si>
  <si>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</si>
  <si>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</si>
  <si>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</si>
  <si>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</si>
  <si>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</si>
  <si>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</si>
  <si>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</si>
  <si>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</si>
  <si>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</si>
  <si>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</si>
  <si>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</si>
  <si>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</si>
  <si>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</si>
  <si>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</si>
  <si>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</si>
  <si>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</si>
  <si>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</si>
  <si>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</si>
  <si>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</si>
  <si>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</si>
  <si>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</si>
  <si>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</si>
  <si>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</si>
  <si>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</si>
  <si>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</si>
  <si>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</si>
  <si>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</si>
  <si>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</si>
  <si>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</si>
  <si>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</si>
  <si>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</si>
  <si>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</si>
  <si>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</si>
  <si>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</si>
  <si>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</si>
  <si>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</si>
  <si>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</si>
  <si>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</si>
  <si>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</si>
  <si>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</si>
  <si>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</si>
  <si>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</si>
  <si>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</si>
  <si>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</si>
  <si>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</si>
  <si>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</si>
  <si>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</si>
  <si>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</si>
  <si>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</si>
  <si>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</si>
  <si>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</si>
  <si>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</si>
  <si>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</si>
  <si>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</si>
  <si>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</si>
  <si>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</si>
  <si>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</si>
  <si>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</si>
  <si>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</si>
  <si>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</si>
  <si>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</si>
  <si>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</si>
  <si>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</si>
  <si>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</si>
  <si>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</si>
  <si>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</si>
  <si>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</si>
  <si>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</si>
  <si>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</si>
  <si>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</si>
  <si>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</si>
  <si>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</si>
  <si>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</si>
  <si>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</si>
  <si>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</si>
  <si>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</si>
  <si>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</si>
  <si>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</si>
  <si>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</si>
  <si>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</si>
  <si>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</si>
  <si>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</si>
  <si>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</si>
  <si>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</si>
  <si>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</si>
  <si>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</si>
  <si>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</si>
  <si>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</si>
  <si>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</si>
  <si>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</si>
  <si>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</si>
  <si>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</si>
  <si>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</si>
  <si>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</si>
  <si>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</si>
  <si>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</si>
  <si>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</si>
  <si>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</si>
  <si>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</si>
  <si>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</si>
  <si>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</si>
  <si>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</si>
  <si>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</si>
  <si>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</si>
  <si>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</si>
  <si>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</si>
  <si>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</si>
  <si>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</si>
  <si>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</si>
  <si>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</si>
  <si>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</si>
  <si>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</si>
  <si>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</si>
  <si>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</si>
  <si>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</si>
  <si>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</si>
  <si>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</si>
  <si>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</si>
  <si>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</si>
  <si>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</si>
  <si>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</si>
  <si>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</si>
  <si>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</si>
  <si>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</si>
  <si>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</si>
  <si>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</si>
  <si>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</si>
  <si>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</si>
  <si>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</si>
  <si>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</si>
  <si>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</si>
  <si>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</si>
  <si>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</si>
  <si>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</si>
  <si>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</si>
  <si>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</si>
  <si>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</si>
  <si>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</si>
  <si>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</si>
  <si>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</si>
  <si>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</si>
  <si>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</si>
  <si>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</si>
  <si>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</si>
  <si>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</si>
  <si>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</si>
  <si>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</si>
  <si>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</si>
  <si>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</si>
  <si>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</si>
  <si>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</si>
  <si>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</si>
  <si>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</si>
  <si>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</si>
  <si>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</si>
  <si>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</si>
  <si>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</si>
  <si>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</si>
  <si>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</si>
  <si>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</si>
  <si>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</si>
  <si>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</si>
  <si>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</si>
  <si>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</si>
  <si>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</si>
  <si>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</si>
  <si>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</si>
  <si>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</si>
  <si>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</si>
  <si>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</si>
  <si>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</si>
  <si>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</si>
  <si>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</si>
  <si>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</si>
  <si>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</si>
  <si>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</si>
  <si>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</si>
  <si>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</si>
  <si>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</si>
  <si>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</si>
  <si>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</si>
  <si>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</si>
  <si>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</si>
  <si>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</si>
  <si>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</si>
  <si>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</si>
  <si>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</si>
  <si>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</si>
  <si>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</si>
  <si>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</si>
  <si>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</si>
  <si>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</si>
  <si>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</si>
  <si>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</si>
  <si>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</si>
  <si>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</si>
  <si>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</si>
  <si>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</si>
  <si>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</si>
  <si>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</si>
  <si>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</si>
  <si>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</si>
  <si>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</si>
  <si>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</si>
  <si>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</si>
  <si>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</si>
  <si>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</si>
  <si>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</si>
  <si>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</si>
  <si>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</si>
  <si>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</si>
  <si>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</si>
  <si>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</si>
  <si>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</si>
  <si>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</si>
  <si>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</si>
  <si>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</si>
  <si>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</si>
  <si>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</si>
  <si>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</si>
  <si>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</si>
  <si>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</si>
  <si>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</si>
  <si>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</si>
  <si>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</si>
  <si>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</si>
  <si>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</si>
  <si>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</si>
  <si>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</si>
  <si>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</si>
  <si>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</si>
  <si>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</si>
  <si>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</si>
  <si>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</si>
  <si>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</si>
  <si>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</si>
  <si>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</si>
  <si>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</si>
  <si>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</si>
  <si>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</si>
  <si>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</si>
  <si>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</si>
  <si>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</si>
  <si>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</si>
  <si>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</si>
  <si>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</si>
  <si>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</si>
  <si>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</si>
  <si>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</si>
  <si>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</si>
  <si>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</si>
  <si>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</si>
  <si>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</si>
  <si>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</si>
  <si>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</si>
  <si>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</si>
  <si>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</si>
  <si>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</si>
  <si>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</si>
  <si>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</si>
  <si>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</si>
  <si>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</si>
  <si>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</si>
  <si>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</si>
  <si>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</si>
  <si>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</si>
  <si>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</si>
  <si>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</si>
  <si>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</si>
  <si>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</si>
  <si>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</si>
  <si>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</si>
  <si>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</si>
  <si>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</si>
  <si>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</si>
  <si>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</si>
  <si>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</si>
  <si>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</si>
  <si>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</si>
  <si>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</si>
  <si>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</si>
  <si>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</si>
  <si>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</si>
  <si>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</si>
  <si>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</si>
  <si>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</si>
  <si>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</si>
  <si>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</si>
  <si>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</si>
  <si>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</si>
  <si>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</si>
  <si>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</si>
  <si>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</si>
  <si>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</si>
  <si>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</si>
  <si>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</si>
  <si>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</si>
  <si>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</si>
  <si>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</si>
  <si>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</si>
  <si>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</si>
  <si>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</si>
  <si>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</si>
  <si>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</si>
  <si>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</si>
  <si>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</si>
  <si>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</si>
  <si>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</si>
  <si>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</si>
  <si>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</si>
  <si>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</si>
  <si>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</si>
  <si>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</si>
  <si>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</si>
  <si>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</si>
  <si>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</si>
  <si>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</si>
  <si>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</si>
  <si>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</si>
  <si>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</si>
  <si>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</si>
  <si>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</si>
  <si>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</si>
  <si>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</si>
  <si>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</si>
  <si>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</si>
  <si>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</si>
  <si>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</si>
  <si>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</si>
  <si>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</si>
  <si>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</si>
  <si>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</si>
  <si>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</si>
  <si>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</si>
  <si>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</si>
  <si>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</si>
  <si>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</si>
  <si>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</si>
  <si>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</si>
  <si>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</si>
  <si>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</si>
  <si>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</si>
  <si>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</si>
  <si>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</si>
  <si>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</si>
  <si>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</si>
  <si>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</si>
  <si>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</si>
  <si>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</si>
  <si>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</si>
  <si>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</si>
  <si>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</si>
  <si>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</si>
  <si>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</si>
  <si>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</si>
  <si>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</si>
  <si>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</si>
  <si>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</si>
  <si>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</si>
  <si>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</si>
  <si>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</si>
  <si>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</si>
  <si>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</si>
  <si>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</si>
  <si>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</si>
  <si>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</si>
  <si>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</si>
  <si>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</si>
  <si>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</si>
  <si>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</si>
  <si>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</si>
  <si>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</si>
  <si>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</si>
  <si>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</si>
  <si>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</si>
  <si>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</si>
  <si>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</si>
  <si>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</si>
  <si>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</si>
  <si>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</si>
  <si>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</si>
  <si>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</si>
  <si>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</si>
  <si>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</si>
  <si>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</si>
  <si>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</si>
  <si>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</si>
  <si>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</si>
  <si>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</si>
  <si>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</si>
  <si>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</si>
  <si>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</si>
  <si>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</si>
  <si>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</si>
  <si>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</si>
  <si>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</si>
  <si>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</si>
  <si>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</si>
  <si>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</si>
  <si>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</si>
  <si>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</si>
  <si>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</si>
  <si>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</si>
  <si>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</si>
  <si>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</si>
  <si>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</si>
  <si>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</si>
  <si>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</si>
  <si>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</si>
  <si>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</si>
  <si>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</si>
  <si>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</si>
  <si>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</si>
  <si>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</si>
  <si>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</si>
  <si>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</si>
  <si>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</si>
  <si>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</si>
  <si>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</si>
  <si>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</si>
  <si>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</si>
  <si>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</si>
  <si>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</si>
  <si>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</si>
  <si>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</si>
  <si>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</si>
  <si>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</si>
  <si>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</si>
  <si>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</si>
  <si>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</si>
  <si>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</si>
  <si>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</si>
  <si>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</si>
  <si>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</si>
  <si>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</si>
  <si>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</si>
  <si>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</si>
  <si>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</si>
  <si>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</si>
  <si>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</si>
  <si>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</si>
  <si>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</si>
  <si>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</si>
  <si>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</si>
  <si>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</si>
  <si>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</si>
  <si>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</si>
  <si>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</si>
  <si>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</si>
  <si>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</si>
  <si>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</si>
  <si>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</si>
  <si>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</si>
  <si>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</si>
  <si>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</si>
  <si>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</si>
  <si>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</si>
  <si>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</si>
  <si>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</si>
  <si>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</si>
  <si>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</si>
  <si>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</si>
  <si>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</si>
  <si>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</si>
  <si>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</si>
  <si>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</si>
  <si>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</si>
  <si>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</si>
  <si>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</si>
  <si>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</si>
  <si>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</si>
  <si>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</si>
  <si>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</si>
  <si>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</si>
  <si>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</si>
  <si>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</si>
  <si>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</si>
  <si>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</si>
  <si>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</si>
  <si>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</si>
  <si>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</si>
  <si>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</si>
  <si>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</si>
  <si>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</si>
  <si>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</si>
  <si>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</si>
  <si>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</si>
  <si>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</si>
  <si>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</si>
  <si>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</si>
  <si>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</si>
  <si>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</si>
  <si>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</si>
  <si>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</si>
  <si>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</si>
  <si>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</si>
  <si>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</si>
  <si>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</si>
  <si>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</si>
  <si>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</si>
  <si>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</si>
  <si>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</si>
  <si>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</si>
  <si>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</si>
  <si>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</si>
  <si>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</si>
  <si>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</si>
  <si>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</si>
  <si>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</si>
  <si>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</si>
  <si>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</si>
  <si>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</si>
  <si>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</si>
  <si>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</si>
  <si>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</si>
  <si>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</si>
  <si>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</si>
  <si>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</si>
  <si>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</si>
  <si>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</si>
  <si>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</si>
  <si>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</si>
  <si>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</si>
  <si>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</si>
  <si>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</si>
  <si>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</si>
  <si>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</si>
  <si>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</si>
  <si>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</si>
  <si>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</si>
  <si>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</si>
  <si>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</si>
  <si>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</si>
  <si>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</si>
  <si>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</si>
  <si>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</si>
  <si>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</si>
  <si>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</si>
  <si>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</si>
  <si>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</si>
  <si>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</si>
  <si>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</si>
  <si>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</si>
  <si>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</si>
  <si>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</si>
  <si>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</si>
  <si>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</si>
  <si>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</si>
  <si>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</si>
  <si>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</si>
  <si>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</si>
  <si>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</si>
  <si>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</si>
  <si>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</si>
  <si>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</si>
  <si>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</si>
  <si>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</si>
  <si>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</si>
  <si>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</si>
  <si>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</si>
  <si>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</si>
  <si>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</si>
  <si>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</si>
  <si>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</si>
  <si>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</si>
  <si>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</si>
  <si>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</si>
  <si>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</si>
  <si>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</si>
  <si>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</si>
  <si>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</si>
  <si>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</si>
  <si>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</si>
  <si>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</si>
  <si>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</si>
  <si>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</si>
  <si>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</si>
  <si>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</si>
  <si>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</si>
  <si>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</si>
  <si>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</si>
  <si>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</si>
  <si>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</si>
  <si>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</si>
  <si>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</si>
  <si>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</si>
  <si>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</si>
  <si>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</si>
  <si>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</si>
  <si>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</si>
  <si>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</si>
  <si>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</si>
  <si>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</si>
  <si>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</si>
  <si>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</si>
  <si>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</si>
  <si>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</si>
  <si>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</si>
  <si>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</si>
  <si>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</si>
  <si>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</si>
  <si>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</si>
  <si>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</si>
  <si>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</si>
  <si>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</si>
  <si>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</si>
  <si>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</si>
  <si>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</si>
  <si>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</si>
  <si>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</si>
  <si>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</si>
  <si>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</si>
  <si>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</si>
  <si>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</si>
  <si>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</si>
  <si>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</si>
  <si>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</si>
  <si>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</si>
  <si>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</si>
  <si>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</si>
  <si>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</si>
  <si>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</si>
  <si>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</si>
  <si>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</si>
  <si>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</si>
  <si>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</si>
  <si>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</si>
  <si>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</si>
  <si>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</si>
  <si>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</si>
  <si>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</si>
  <si>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</si>
  <si>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</si>
  <si>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</si>
  <si>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</si>
  <si>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</si>
  <si>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</si>
  <si>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</si>
  <si>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</si>
  <si>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</si>
  <si>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</si>
  <si>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</si>
  <si>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</si>
  <si>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</si>
  <si>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</si>
  <si>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</si>
  <si>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</si>
  <si>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</si>
  <si>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</si>
  <si>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</si>
  <si>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</si>
  <si>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</si>
  <si>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</si>
  <si>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</si>
  <si>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</si>
  <si>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</si>
  <si>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</si>
  <si>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</si>
  <si>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</si>
  <si>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</si>
  <si>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</si>
  <si>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</si>
  <si>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</si>
  <si>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</si>
  <si>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</si>
  <si>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</si>
  <si>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</si>
  <si>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</si>
  <si>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</si>
  <si>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</si>
  <si>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</si>
  <si>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</si>
  <si>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</si>
  <si>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</si>
  <si>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</si>
  <si>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</si>
  <si>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</si>
  <si>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</si>
  <si>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</si>
  <si>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</si>
  <si>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</si>
  <si>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</si>
  <si>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</si>
  <si>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</si>
  <si>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</si>
  <si>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</si>
  <si>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</si>
  <si>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</si>
  <si>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</si>
  <si>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</si>
  <si>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</si>
  <si>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</si>
  <si>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</si>
  <si>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</si>
  <si>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</si>
  <si>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</si>
  <si>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</si>
  <si>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</si>
  <si>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</si>
  <si>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</si>
  <si>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</si>
  <si>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</si>
  <si>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</si>
  <si>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</si>
  <si>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</si>
  <si>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</si>
  <si>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</si>
  <si>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</si>
  <si>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</si>
  <si>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</si>
  <si>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</si>
  <si>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</si>
  <si>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</si>
  <si>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</si>
  <si>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</si>
  <si>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</si>
  <si>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</si>
  <si>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</si>
  <si>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</si>
  <si>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</si>
  <si>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</si>
  <si>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</si>
  <si>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</si>
  <si>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</si>
  <si>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</si>
  <si>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</si>
  <si>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</si>
  <si>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</si>
  <si>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</si>
  <si>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</si>
  <si>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</si>
  <si>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</si>
  <si>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</si>
  <si>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</si>
  <si>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</si>
  <si>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</si>
  <si>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</si>
  <si>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</si>
  <si>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</si>
  <si>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</si>
  <si>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</si>
  <si>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</si>
  <si>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</si>
  <si>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</si>
  <si>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</si>
  <si>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</si>
  <si>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</si>
  <si>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</si>
  <si>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</si>
  <si>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</si>
  <si>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</si>
  <si>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</si>
  <si>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</si>
  <si>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</si>
  <si>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</si>
  <si>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</si>
  <si>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</si>
  <si>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</si>
  <si>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</si>
  <si>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</si>
  <si>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</si>
  <si>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</si>
  <si>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</si>
  <si>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</si>
  <si>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</si>
  <si>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</si>
  <si>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</si>
  <si>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</si>
  <si>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</si>
  <si>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</si>
  <si>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</si>
  <si>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</si>
  <si>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</si>
  <si>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</si>
  <si>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</si>
  <si>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</si>
  <si>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</si>
  <si>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</si>
  <si>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</si>
  <si>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</si>
  <si>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</si>
  <si>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</si>
  <si>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</si>
  <si>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</si>
  <si>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</si>
  <si>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</si>
  <si>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</si>
  <si>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</si>
  <si>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</si>
  <si>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</si>
  <si>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</si>
  <si>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</si>
  <si>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</si>
  <si>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</si>
  <si>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</si>
  <si>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</si>
  <si>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</si>
  <si>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</si>
  <si>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</si>
  <si>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</si>
  <si>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</si>
  <si>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</si>
  <si>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</si>
  <si>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</si>
  <si>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</si>
  <si>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</si>
  <si>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</si>
  <si>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</si>
  <si>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</si>
  <si>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</si>
  <si>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</si>
  <si>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</si>
  <si>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</si>
  <si>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</si>
  <si>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</si>
  <si>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</si>
  <si>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</si>
  <si>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</si>
  <si>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</si>
  <si>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</si>
  <si>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</si>
  <si>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</si>
  <si>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</si>
  <si>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</si>
  <si>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</si>
  <si>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</si>
  <si>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</si>
  <si>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</si>
  <si>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</si>
  <si>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</si>
  <si>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</si>
  <si>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</si>
  <si>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</si>
  <si>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</si>
  <si>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</si>
  <si>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</si>
  <si>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</si>
  <si>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</si>
  <si>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</si>
  <si>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</si>
  <si>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</si>
  <si>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</si>
  <si>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</si>
  <si>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</si>
  <si>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</si>
  <si>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</si>
  <si>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</si>
  <si>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</si>
  <si>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</si>
  <si>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</si>
  <si>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</si>
  <si>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</si>
  <si>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</si>
  <si>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</si>
  <si>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</si>
  <si>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</si>
  <si>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</si>
  <si>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</si>
  <si>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</si>
  <si>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</si>
  <si>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</si>
  <si>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</si>
  <si>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</si>
  <si>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</si>
  <si>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</si>
  <si>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</si>
  <si>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</si>
  <si>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</si>
  <si>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</si>
  <si>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</si>
  <si>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</si>
  <si>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</si>
  <si>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</si>
  <si>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</si>
  <si>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</si>
  <si>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</si>
  <si>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</si>
  <si>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</si>
  <si>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</si>
  <si>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</si>
  <si>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</si>
  <si>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</si>
  <si>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</si>
  <si>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</si>
  <si>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</si>
  <si>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</si>
  <si>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</si>
  <si>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</si>
  <si>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</si>
  <si>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</si>
  <si>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</si>
  <si>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</si>
  <si>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</si>
  <si>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</si>
  <si>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</si>
  <si>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</si>
  <si>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</si>
  <si>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</si>
  <si>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</si>
  <si>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</si>
  <si>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</si>
  <si>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</si>
  <si>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</si>
  <si>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</si>
  <si>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</si>
  <si>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</si>
  <si>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</si>
  <si>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</si>
  <si>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</si>
  <si>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</si>
  <si>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</si>
  <si>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</si>
  <si>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</si>
  <si>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</si>
  <si>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</si>
  <si>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</si>
  <si>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</si>
  <si>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</si>
  <si>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</si>
  <si>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</si>
  <si>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</si>
  <si>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</si>
  <si>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</si>
  <si>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</si>
  <si>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</si>
  <si>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</si>
  <si>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</si>
  <si>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</si>
  <si>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</si>
  <si>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</si>
  <si>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</si>
  <si>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</si>
  <si>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</si>
  <si>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</si>
  <si>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</si>
  <si>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</si>
  <si>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</si>
  <si>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</si>
  <si>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</si>
  <si>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</si>
  <si>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</si>
  <si>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</si>
  <si>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</si>
  <si>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</si>
  <si>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</si>
  <si>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</si>
  <si>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</si>
  <si>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</si>
  <si>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</si>
  <si>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</si>
  <si>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</si>
  <si>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</si>
  <si>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</si>
  <si>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</si>
  <si>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</si>
  <si>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</si>
  <si>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</si>
  <si>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</si>
  <si>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</si>
  <si>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</si>
  <si>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</si>
  <si>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</si>
  <si>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</si>
  <si>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</si>
  <si>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</si>
  <si>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</si>
  <si>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</si>
  <si>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</si>
  <si>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</si>
  <si>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</si>
  <si>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</si>
  <si>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</si>
  <si>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</si>
  <si>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</si>
  <si>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</si>
  <si>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</si>
  <si>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</si>
  <si>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</si>
  <si>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</si>
  <si>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</si>
  <si>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</si>
  <si>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</si>
  <si>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</si>
  <si>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</si>
  <si>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</si>
  <si>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</si>
  <si>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</si>
  <si>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</si>
  <si>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</si>
  <si>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</si>
  <si>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</si>
  <si>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</si>
  <si>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</si>
  <si>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</si>
  <si>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</si>
  <si>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</si>
  <si>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</si>
  <si>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</si>
  <si>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</si>
  <si>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</si>
  <si>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</si>
  <si>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</si>
  <si>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</si>
  <si>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</si>
  <si>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</si>
  <si>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</si>
  <si>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</si>
  <si>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</si>
  <si>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</si>
  <si>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</si>
  <si>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</si>
  <si>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</si>
  <si>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</si>
  <si>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</si>
  <si>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</si>
  <si>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</si>
  <si>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</si>
  <si>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</si>
  <si>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</si>
  <si>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</si>
  <si>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</si>
  <si>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</si>
  <si>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</si>
  <si>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</si>
  <si>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</si>
  <si>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</si>
  <si>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</si>
  <si>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</si>
  <si>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</si>
  <si>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</si>
  <si>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</si>
  <si>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</si>
  <si>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</si>
  <si>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</si>
  <si>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</si>
  <si>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</si>
  <si>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</si>
  <si>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</si>
  <si>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</si>
  <si>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</si>
  <si>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</si>
  <si>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</si>
  <si>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</si>
  <si>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</si>
  <si>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</si>
  <si>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</si>
  <si>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</si>
  <si>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</si>
  <si>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</si>
  <si>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</si>
  <si>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</si>
  <si>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</si>
  <si>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</si>
  <si>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</si>
  <si>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</si>
  <si>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</si>
  <si>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</si>
  <si>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</si>
  <si>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</si>
  <si>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</si>
  <si>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</si>
  <si>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</si>
  <si>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</si>
  <si>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</si>
  <si>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</si>
  <si>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</si>
  <si>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</si>
  <si>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</si>
  <si>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</si>
  <si>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</si>
  <si>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</si>
  <si>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</si>
  <si>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</si>
  <si>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</si>
  <si>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</si>
  <si>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</si>
  <si>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</si>
  <si>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</si>
  <si>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</si>
  <si>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</si>
  <si>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</si>
  <si>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</si>
  <si>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</si>
  <si>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</si>
  <si>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</si>
  <si>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</si>
  <si>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</si>
  <si>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</si>
  <si>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</si>
  <si>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</si>
  <si>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</si>
  <si>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</si>
  <si>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</si>
  <si>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</si>
  <si>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</si>
  <si>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</si>
  <si>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</si>
  <si>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</si>
  <si>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</si>
  <si>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</si>
  <si>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</si>
  <si>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</si>
  <si>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</si>
  <si>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</si>
  <si>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</si>
  <si>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</si>
  <si>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</si>
  <si>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</si>
  <si>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</si>
  <si>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</si>
  <si>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</si>
  <si>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</si>
  <si>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</si>
  <si>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</si>
  <si>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</si>
  <si>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</si>
  <si>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</si>
  <si>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</si>
  <si>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</si>
  <si>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</si>
  <si>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</si>
  <si>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</si>
  <si>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</si>
  <si>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</si>
  <si>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</si>
  <si>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</si>
  <si>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</si>
  <si>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</si>
  <si>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</si>
  <si>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</si>
  <si>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</si>
  <si>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</si>
  <si>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</si>
  <si>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</si>
  <si>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</si>
  <si>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</si>
  <si>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</si>
  <si>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</si>
  <si>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</si>
  <si>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</si>
  <si>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</si>
  <si>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</si>
  <si>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</si>
  <si>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</si>
  <si>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</si>
  <si>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</si>
  <si>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</si>
  <si>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</si>
  <si>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</si>
  <si>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</si>
  <si>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</si>
  <si>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</si>
  <si>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</si>
  <si>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</si>
  <si>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</si>
  <si>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</si>
  <si>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</si>
  <si>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</si>
  <si>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</si>
  <si>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</si>
  <si>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</si>
  <si>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</si>
  <si>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</si>
  <si>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</si>
  <si>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</si>
  <si>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</si>
  <si>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</si>
  <si>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</si>
  <si>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</si>
  <si>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</si>
  <si>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</si>
  <si>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</si>
  <si>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</si>
  <si>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</si>
  <si>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</si>
  <si>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</si>
  <si>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</si>
  <si>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</si>
  <si>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</si>
  <si>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</si>
  <si>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</si>
  <si>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</si>
  <si>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</si>
  <si>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</si>
  <si>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</si>
  <si>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</si>
  <si>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</si>
  <si>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</si>
  <si>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</si>
  <si>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</si>
  <si>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</si>
  <si>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</si>
  <si>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</si>
  <si>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</si>
  <si>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</si>
  <si>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</si>
  <si>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</si>
  <si>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</si>
  <si>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</si>
  <si>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</si>
  <si>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</si>
  <si>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</si>
  <si>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</si>
  <si>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</si>
  <si>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</si>
  <si>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</si>
  <si>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</si>
  <si>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</si>
  <si>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</si>
  <si>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</si>
  <si>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</si>
  <si>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</si>
  <si>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</si>
  <si>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</si>
  <si>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</si>
  <si>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</si>
  <si>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</si>
  <si>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</si>
  <si>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</si>
  <si>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</si>
  <si>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</si>
  <si>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</si>
  <si>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</si>
  <si>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</si>
  <si>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</si>
  <si>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</si>
  <si>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</si>
  <si>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</si>
  <si>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</si>
  <si>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</si>
  <si>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</si>
  <si>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</si>
  <si>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</si>
  <si>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</si>
  <si>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</si>
  <si>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</si>
  <si>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</si>
  <si>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</si>
  <si>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</si>
  <si>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</si>
  <si>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</si>
  <si>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</si>
  <si>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</si>
  <si>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</si>
  <si>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</si>
  <si>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</si>
  <si>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</si>
  <si>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</si>
  <si>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</si>
  <si>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</si>
  <si>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</si>
  <si>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</si>
  <si>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</si>
  <si>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</si>
  <si>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</si>
  <si>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</si>
  <si>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</si>
  <si>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</si>
  <si>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</si>
  <si>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</si>
  <si>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</si>
  <si>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</si>
  <si>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</si>
  <si>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</si>
  <si>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</si>
  <si>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</si>
  <si>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</si>
  <si>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</si>
  <si>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</si>
  <si>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</si>
  <si>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</si>
  <si>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</si>
  <si>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</si>
  <si>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</si>
  <si>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</si>
  <si>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</si>
  <si>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</si>
  <si>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</si>
  <si>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</si>
  <si>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</si>
  <si>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</si>
  <si>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</si>
  <si>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</si>
  <si>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</si>
  <si>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</si>
  <si>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</si>
  <si>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</si>
  <si>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</si>
  <si>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</si>
  <si>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</si>
  <si>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</si>
  <si>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</si>
  <si>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</si>
  <si>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</si>
  <si>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</si>
  <si>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</si>
  <si>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</si>
  <si>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</si>
  <si>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</si>
  <si>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</si>
  <si>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</si>
  <si>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</si>
  <si>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</si>
  <si>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</si>
  <si>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</si>
  <si>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</si>
  <si>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</si>
  <si>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</si>
  <si>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</si>
  <si>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</si>
  <si>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</si>
  <si>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</si>
  <si>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</si>
  <si>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</si>
  <si>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</si>
  <si>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</si>
  <si>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</si>
  <si>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</si>
  <si>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</si>
  <si>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</si>
  <si>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</si>
  <si>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</si>
  <si>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</si>
  <si>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</si>
  <si>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</si>
  <si>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</si>
  <si>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</si>
  <si>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</si>
  <si>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</si>
  <si>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</si>
  <si>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</si>
  <si>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</si>
  <si>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</si>
  <si>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</si>
  <si>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</si>
  <si>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</si>
  <si>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</si>
  <si>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</si>
  <si>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</si>
  <si>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</si>
  <si>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</si>
  <si>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</si>
  <si>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</si>
  <si>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</si>
  <si>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</si>
  <si>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</si>
  <si>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</si>
  <si>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</si>
  <si>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</si>
  <si>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</si>
  <si>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</si>
  <si>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</si>
  <si>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</si>
  <si>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</si>
  <si>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</si>
  <si>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</si>
  <si>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</si>
  <si>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</si>
  <si>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</si>
  <si>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</si>
  <si>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</si>
  <si>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</si>
  <si>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</si>
  <si>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</si>
  <si>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</si>
  <si>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</si>
  <si>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</si>
  <si>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</si>
  <si>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</si>
  <si>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</si>
  <si>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</si>
  <si>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</si>
  <si>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</si>
  <si>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</si>
  <si>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</si>
  <si>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</si>
  <si>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</si>
  <si>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</si>
  <si>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</si>
  <si>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</si>
  <si>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</si>
  <si>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</si>
  <si>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</si>
  <si>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</si>
  <si>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</si>
  <si>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</si>
  <si>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</si>
  <si>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</si>
  <si>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</si>
  <si>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</si>
  <si>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</si>
  <si>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</si>
  <si>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</si>
  <si>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</si>
  <si>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</si>
  <si>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</si>
  <si>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</si>
  <si>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</si>
  <si>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</si>
  <si>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</si>
  <si>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</si>
  <si>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</si>
  <si>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</si>
  <si>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</si>
  <si>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</si>
  <si>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</si>
  <si>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</si>
  <si>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</si>
  <si>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</si>
  <si>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</si>
  <si>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</si>
  <si>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</si>
  <si>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</si>
  <si>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</si>
  <si>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</si>
  <si>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</si>
  <si>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</si>
  <si>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</si>
  <si>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</si>
  <si>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</si>
  <si>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</si>
  <si>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</si>
  <si>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</si>
  <si>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</si>
  <si>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</si>
  <si>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</si>
  <si>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</si>
  <si>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</si>
  <si>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</si>
  <si>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</si>
  <si>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</si>
  <si>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</si>
  <si>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</si>
  <si>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</si>
  <si>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</si>
  <si>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</si>
  <si>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</si>
  <si>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</si>
  <si>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</si>
  <si>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</si>
  <si>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</si>
  <si>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</si>
  <si>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</si>
  <si>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</si>
  <si>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</si>
  <si>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</si>
  <si>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</si>
  <si>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</si>
  <si>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</si>
  <si>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</si>
  <si>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</si>
  <si>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</si>
  <si>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</si>
  <si>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</si>
  <si>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</si>
  <si>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</si>
  <si>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</si>
  <si>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</si>
  <si>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</si>
  <si>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</si>
  <si>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</si>
  <si>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</si>
  <si>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</si>
  <si>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</si>
  <si>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</si>
  <si>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</si>
  <si>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</si>
  <si>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</si>
  <si>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</si>
  <si>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</si>
  <si>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</si>
  <si>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</si>
  <si>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</si>
  <si>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</si>
  <si>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</si>
  <si>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</si>
  <si>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</si>
  <si>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</si>
  <si>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</si>
  <si>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</si>
  <si>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</si>
  <si>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</si>
  <si>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</si>
  <si>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</si>
  <si>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</si>
  <si>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</si>
  <si>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</si>
  <si>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</si>
  <si>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</si>
  <si>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</si>
  <si>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</si>
  <si>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</si>
  <si>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</si>
  <si>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</si>
  <si>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</si>
  <si>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</si>
  <si>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</si>
  <si>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</si>
  <si>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</si>
  <si>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</si>
  <si>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</si>
  <si>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</si>
  <si>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</si>
  <si>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</si>
  <si>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</si>
  <si>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</si>
  <si>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</si>
  <si>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</si>
  <si>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</si>
  <si>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</si>
  <si>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</si>
  <si>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</si>
  <si>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</si>
  <si>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</si>
  <si>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</si>
  <si>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</si>
  <si>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</si>
  <si>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</si>
  <si>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</si>
  <si>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</si>
  <si>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</si>
  <si>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</si>
  <si>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</si>
  <si>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</si>
  <si>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</si>
  <si>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</si>
  <si>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</si>
  <si>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</si>
  <si>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</si>
  <si>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</si>
  <si>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</si>
  <si>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</si>
  <si>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</si>
  <si>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</si>
  <si>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</si>
  <si>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</si>
  <si>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</si>
  <si>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</si>
  <si>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</si>
  <si>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</si>
  <si>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</si>
  <si>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</si>
  <si>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</si>
  <si>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</si>
  <si>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</si>
  <si>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</si>
  <si>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</si>
  <si>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</si>
  <si>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</si>
  <si>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</si>
  <si>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</si>
  <si>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</si>
  <si>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</si>
  <si>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</si>
  <si>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</si>
  <si>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</si>
  <si>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</si>
  <si>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</si>
  <si>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</si>
  <si>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</si>
  <si>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</si>
  <si>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</si>
  <si>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</si>
  <si>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</si>
  <si>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</si>
  <si>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</si>
  <si>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</si>
  <si>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</si>
  <si>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</si>
  <si>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</si>
  <si>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</si>
  <si>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</si>
  <si>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</si>
  <si>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</si>
  <si>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</si>
  <si>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</si>
  <si>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</si>
  <si>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</si>
  <si>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</si>
  <si>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</si>
  <si>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</si>
  <si>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</si>
  <si>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</si>
  <si>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</si>
  <si>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</si>
  <si>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</si>
  <si>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</si>
  <si>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</si>
  <si>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</si>
  <si>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</si>
  <si>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</si>
  <si>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</si>
  <si>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</si>
  <si>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</si>
  <si>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</si>
  <si>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</si>
  <si>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</si>
  <si>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</si>
  <si>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</si>
  <si>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</si>
  <si>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</si>
  <si>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</si>
  <si>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</si>
  <si>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</si>
  <si>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</si>
  <si>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</si>
  <si>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</si>
  <si>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</si>
  <si>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</si>
  <si>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</si>
  <si>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</si>
  <si>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</si>
  <si>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</si>
  <si>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</si>
  <si>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</si>
  <si>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</si>
  <si>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</si>
  <si>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</si>
  <si>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</si>
  <si>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</si>
  <si>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</si>
  <si>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</si>
  <si>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</si>
  <si>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</si>
  <si>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</si>
  <si>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</si>
  <si>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</si>
  <si>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</si>
  <si>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</si>
  <si>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</si>
  <si>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</si>
  <si>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</si>
  <si>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</si>
  <si>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</si>
  <si>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</si>
  <si>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</si>
  <si>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</si>
  <si>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</si>
  <si>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</si>
  <si>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</si>
  <si>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</si>
  <si>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</si>
  <si>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</si>
  <si>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</si>
  <si>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</si>
  <si>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</si>
  <si>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</si>
  <si>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</si>
  <si>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</si>
  <si>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</si>
  <si>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</si>
  <si>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</si>
  <si>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</si>
  <si>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</si>
  <si>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</si>
  <si>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</si>
  <si>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</si>
  <si>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</si>
  <si>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</si>
  <si>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</si>
  <si>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</si>
  <si>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</si>
  <si>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</si>
  <si>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</si>
  <si>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</si>
  <si>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</si>
  <si>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</si>
  <si>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</si>
  <si>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</si>
  <si>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</si>
  <si>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</si>
  <si>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</si>
  <si>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</si>
  <si>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</si>
  <si>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</si>
  <si>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</si>
  <si>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</si>
  <si>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</si>
  <si>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</si>
  <si>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</si>
  <si>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</si>
  <si>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</si>
  <si>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</si>
  <si>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</si>
  <si>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</si>
  <si>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</si>
  <si>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</si>
  <si>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</si>
  <si>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</si>
  <si>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</si>
  <si>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</si>
  <si>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</si>
  <si>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</si>
  <si>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</si>
  <si>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</si>
  <si>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</si>
  <si>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</si>
  <si>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</si>
  <si>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</si>
  <si>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</si>
  <si>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</si>
  <si>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</si>
  <si>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</si>
  <si>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</si>
  <si>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</si>
  <si>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</si>
  <si>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</si>
  <si>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</si>
  <si>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</si>
  <si>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</si>
  <si>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</si>
  <si>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</si>
  <si>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</si>
  <si>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</si>
  <si>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</si>
  <si>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</si>
  <si>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</si>
  <si>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</si>
  <si>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</si>
  <si>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</si>
  <si>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</si>
  <si>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</si>
  <si>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</si>
  <si>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</si>
  <si>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</si>
  <si>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</si>
  <si>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</si>
  <si>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</si>
  <si>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</si>
  <si>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</si>
  <si>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</si>
  <si>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</si>
  <si>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</si>
  <si>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</si>
  <si>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</si>
  <si>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</si>
  <si>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</si>
  <si>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</si>
  <si>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</si>
  <si>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</si>
  <si>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</si>
  <si>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</si>
  <si>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</si>
  <si>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</si>
  <si>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</si>
  <si>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</si>
  <si>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</si>
  <si>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</si>
  <si>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</si>
  <si>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</si>
  <si>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</si>
  <si>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</si>
  <si>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</si>
  <si>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</si>
  <si>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</si>
  <si>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</si>
  <si>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</si>
  <si>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</si>
  <si>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</si>
  <si>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</si>
  <si>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</si>
  <si>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</si>
  <si>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</si>
  <si>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</si>
  <si>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</si>
  <si>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</si>
  <si>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</si>
  <si>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</si>
  <si>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</si>
  <si>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</si>
  <si>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</si>
  <si>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</si>
  <si>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</si>
  <si>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</si>
  <si>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</si>
  <si>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</si>
  <si>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</si>
  <si>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</si>
  <si>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</si>
  <si>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</si>
  <si>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</si>
  <si>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</si>
  <si>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</si>
  <si>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</si>
  <si>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</si>
  <si>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</si>
  <si>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</si>
  <si>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</si>
  <si>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</si>
  <si>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</si>
  <si>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</si>
  <si>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</si>
  <si>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</si>
  <si>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</si>
  <si>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</si>
  <si>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</si>
  <si>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</si>
  <si>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</si>
  <si>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</si>
  <si>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</si>
  <si>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</si>
  <si>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</si>
  <si>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</si>
  <si>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</si>
  <si>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</si>
  <si>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</si>
  <si>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</si>
  <si>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</si>
  <si>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</si>
  <si>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</si>
  <si>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</si>
  <si>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</si>
  <si>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</si>
  <si>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</si>
  <si>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</si>
  <si>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</si>
  <si>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</si>
  <si>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</si>
  <si>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</si>
  <si>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</si>
  <si>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</si>
  <si>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</si>
  <si>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</si>
  <si>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</si>
  <si>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</si>
  <si>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</si>
  <si>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</si>
  <si>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</si>
  <si>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</si>
  <si>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</si>
  <si>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</si>
  <si>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</si>
  <si>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</si>
  <si>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</si>
  <si>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</si>
  <si>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</si>
  <si>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</si>
  <si>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</si>
  <si>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</si>
  <si>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</si>
  <si>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</si>
  <si>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</si>
  <si>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</si>
  <si>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</si>
  <si>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</si>
  <si>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</si>
  <si>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</si>
  <si>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</si>
  <si>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</si>
  <si>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</si>
  <si>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</si>
  <si>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</si>
  <si>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</si>
  <si>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</si>
  <si>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</si>
  <si>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</si>
  <si>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</si>
  <si>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</si>
  <si>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</si>
  <si>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</si>
  <si>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</si>
  <si>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</si>
  <si>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</si>
  <si>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</si>
  <si>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</si>
  <si>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</si>
  <si>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</si>
  <si>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</si>
  <si>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</si>
  <si>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</si>
  <si>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</si>
  <si>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</si>
  <si>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</si>
  <si>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</si>
  <si>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</si>
  <si>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</si>
  <si>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</si>
  <si>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</si>
  <si>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</si>
  <si>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</si>
  <si>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</si>
  <si>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</si>
  <si>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</si>
  <si>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</si>
  <si>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</si>
  <si>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</si>
  <si>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</si>
  <si>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</si>
  <si>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</si>
  <si>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</si>
  <si>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</si>
  <si>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</si>
  <si>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</si>
  <si>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</si>
  <si>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</si>
  <si>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</si>
  <si>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</si>
  <si>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</si>
  <si>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</si>
  <si>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</si>
  <si>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</si>
  <si>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</si>
  <si>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</si>
  <si>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</si>
  <si>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</si>
  <si>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</si>
  <si>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</si>
  <si>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</si>
  <si>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</si>
  <si>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</si>
  <si>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</si>
  <si>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</si>
  <si>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</si>
  <si>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</si>
  <si>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</si>
  <si>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</si>
  <si>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</si>
  <si>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</si>
  <si>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</si>
  <si>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</si>
  <si>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</si>
  <si>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</si>
  <si>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</si>
  <si>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</si>
  <si>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</si>
  <si>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</si>
  <si>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</si>
  <si>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</si>
  <si>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</si>
  <si>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</si>
  <si>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</si>
  <si>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</si>
  <si>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</si>
  <si>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</si>
  <si>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</si>
  <si>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</si>
  <si>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</si>
  <si>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</si>
  <si>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</si>
  <si>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</si>
  <si>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</si>
  <si>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</si>
  <si>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</si>
  <si>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</si>
  <si>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</si>
  <si>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</si>
  <si>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</si>
  <si>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</si>
  <si>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</si>
  <si>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</si>
  <si>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</si>
  <si>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</si>
  <si>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</si>
  <si>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</si>
  <si>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</si>
  <si>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</si>
  <si>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</si>
  <si>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</si>
  <si>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</si>
  <si>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</si>
  <si>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</si>
  <si>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</si>
  <si>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</si>
  <si>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</si>
  <si>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</si>
  <si>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</si>
  <si>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</si>
  <si>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</si>
  <si>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</si>
  <si>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</si>
  <si>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</si>
  <si>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</si>
  <si>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</si>
  <si>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</si>
  <si>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</si>
  <si>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</si>
  <si>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</si>
  <si>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</si>
  <si>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</si>
  <si>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</si>
  <si>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</si>
  <si>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</si>
  <si>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</si>
  <si>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</si>
  <si>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</si>
  <si>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</si>
  <si>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</si>
  <si>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</si>
  <si>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</si>
  <si>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</si>
  <si>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</si>
  <si>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</si>
  <si>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</si>
  <si>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</si>
  <si>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</si>
  <si>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</si>
  <si>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</si>
  <si>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</si>
  <si>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</si>
  <si>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</si>
  <si>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</si>
  <si>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</si>
  <si>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</si>
  <si>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</si>
  <si>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</si>
  <si>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</si>
  <si>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</si>
  <si>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</si>
  <si>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</si>
  <si>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</si>
  <si>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</si>
  <si>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</si>
  <si>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</si>
  <si>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</si>
  <si>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</si>
  <si>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</si>
  <si>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</si>
  <si>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</si>
  <si>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</si>
  <si>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</si>
  <si>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</si>
  <si>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</si>
  <si>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</si>
  <si>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</si>
  <si>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</si>
  <si>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</si>
  <si>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</si>
  <si>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</si>
  <si>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</si>
  <si>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Jason Crebassa</t>
  </si>
  <si>
    <t xml:space="preserve">conforme AFNOR T90-395 oct. 2003</t>
  </si>
  <si>
    <t xml:space="preserve">Argens</t>
  </si>
  <si>
    <t xml:space="preserve">Thoronet</t>
  </si>
  <si>
    <t xml:space="preserve">06300121</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</si>
  <si>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</si>
  <si>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</si>
  <si>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</si>
  <si>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</si>
  <si>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</si>
  <si>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</si>
  <si>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</si>
  <si>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</si>
  <si>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</si>
  <si>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</si>
  <si>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</si>
  <si>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très élevé</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</si>
  <si>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</si>
  <si>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</si>
  <si>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</si>
  <si>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</si>
  <si>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</si>
  <si>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</si>
  <si>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</si>
  <si>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</si>
  <si>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</si>
  <si>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</si>
  <si>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</si>
  <si>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</si>
  <si>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</si>
  <si>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</si>
  <si>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</si>
  <si>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</si>
  <si>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</si>
  <si>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</si>
  <si>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</si>
  <si>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</si>
  <si>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</si>
  <si>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</si>
  <si>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</si>
  <si>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</si>
  <si>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</si>
  <si>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</si>
  <si>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</si>
  <si>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</si>
  <si>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</si>
  <si>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</si>
  <si>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</si>
  <si>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</si>
  <si>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</si>
  <si>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</si>
  <si>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</si>
  <si>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</si>
  <si>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</si>
  <si>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</si>
  <si>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</si>
  <si>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(17,616 %)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</si>
  <si>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</si>
  <si>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</si>
  <si>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</si>
  <si>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</si>
  <si>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</si>
  <si>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</si>
  <si>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</si>
  <si>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</si>
  <si>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</si>
  <si>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</si>
  <si>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</si>
  <si>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</si>
  <si>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</si>
  <si>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</si>
  <si>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</si>
  <si>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</si>
  <si>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</si>
  <si>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</si>
  <si>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</si>
  <si>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</si>
  <si>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Biddulphia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</si>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</sst>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41513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7.85714285714286</v>
      </c>
      <c r="M5" s="323"/>
      <c r="N5" s="324" t="s">
        <v>122</v>
      </c>
      <c r="O5" s="325" t="n">
        <v>8.29411764705882</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68</v>
      </c>
      <c r="C7" s="337" t="n">
        <v>32</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5.92307692307692</v>
      </c>
      <c r="O8" s="354" t="n">
        <f aca="false">IF(ISERROR(AVERAGE(J23:J82)),"      -",AVERAGE(J23:J82))</f>
        <v>1.38461538461538</v>
      </c>
      <c r="P8" s="355"/>
      <c r="Q8" s="280"/>
      <c r="R8" s="280"/>
      <c r="S8" s="280"/>
      <c r="T8" s="280"/>
      <c r="U8" s="280"/>
      <c r="V8" s="280"/>
      <c r="W8" s="292"/>
      <c r="X8" s="293"/>
    </row>
    <row r="9" customFormat="false" ht="13.8" hidden="false" customHeight="false" outlineLevel="0" collapsed="false">
      <c r="A9" s="313" t="s">
        <v>2635</v>
      </c>
      <c r="B9" s="356" t="n">
        <v>23.8</v>
      </c>
      <c r="C9" s="357" t="n">
        <v>4.48</v>
      </c>
      <c r="D9" s="358"/>
      <c r="E9" s="358"/>
      <c r="F9" s="359" t="n">
        <f aca="false">($B9*$B$7+$C9*$C$7)/100</f>
        <v>17.6176</v>
      </c>
      <c r="G9" s="360"/>
      <c r="H9" s="361"/>
      <c r="I9" s="362"/>
      <c r="J9" s="363"/>
      <c r="K9" s="343"/>
      <c r="L9" s="364"/>
      <c r="M9" s="353" t="s">
        <v>2636</v>
      </c>
      <c r="N9" s="354" t="n">
        <f aca="false">IF(ISERROR(STDEVP(I23:I82)),"     -",STDEVP(I23:I82))</f>
        <v>4.77914602061818</v>
      </c>
      <c r="O9" s="354" t="n">
        <f aca="false">IF(ISERROR(STDEVP(J23:J82)),"      -",STDEVP(J23:J82))</f>
        <v>0.923076923076923</v>
      </c>
      <c r="P9" s="355"/>
      <c r="Q9" s="280"/>
      <c r="R9" s="280"/>
      <c r="S9" s="280"/>
      <c r="T9" s="280"/>
      <c r="U9" s="280"/>
      <c r="V9" s="280"/>
      <c r="W9" s="365"/>
      <c r="X9" s="366"/>
    </row>
    <row r="10" customFormat="false" ht="13.8"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13</v>
      </c>
      <c r="O11" s="376" t="n">
        <f aca="false">MAX(J23:J82)</f>
        <v>3</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3</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5</v>
      </c>
      <c r="L13" s="386"/>
      <c r="M13" s="397" t="s">
        <v>2649</v>
      </c>
      <c r="N13" s="398" t="n">
        <f aca="false">COUNTIF(F23:F82,"&gt;0")</f>
        <v>14</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13</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5</v>
      </c>
      <c r="L15" s="386"/>
      <c r="M15" s="407" t="s">
        <v>2655</v>
      </c>
      <c r="N15" s="408" t="n">
        <f aca="false">COUNTIF(J23:J82,"=1")</f>
        <v>3</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6</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1</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23.8</v>
      </c>
      <c r="C20" s="436" t="n">
        <f aca="false">SUM(C23:C82)</f>
        <v>4.475</v>
      </c>
      <c r="D20" s="437"/>
      <c r="E20" s="438" t="s">
        <v>2661</v>
      </c>
      <c r="F20" s="439" t="n">
        <f aca="false">($B20*$B$7+$C20*$C$7)/100</f>
        <v>17.616</v>
      </c>
      <c r="G20" s="440"/>
      <c r="H20" s="441"/>
      <c r="I20" s="442"/>
      <c r="J20" s="442"/>
      <c r="K20" s="443"/>
      <c r="L20" s="317"/>
      <c r="M20" s="444"/>
      <c r="N20" s="444"/>
      <c r="O20" s="445"/>
      <c r="P20" s="446"/>
      <c r="Q20" s="447" t="s">
        <v>2663</v>
      </c>
      <c r="R20" s="280"/>
      <c r="S20" s="280"/>
      <c r="T20" s="280"/>
      <c r="U20" s="280"/>
      <c r="V20" s="280"/>
      <c r="W20" s="420" t="s">
        <v>2664</v>
      </c>
    </row>
    <row r="21" customFormat="false" ht="13.2" hidden="false" customHeight="false" outlineLevel="0" collapsed="false">
      <c r="A21" s="448" t="s">
        <v>2665</v>
      </c>
      <c r="B21" s="449" t="n">
        <f aca="false">B20*B7/100</f>
        <v>16.184</v>
      </c>
      <c r="C21" s="449" t="n">
        <f aca="false">C20*C7/100</f>
        <v>1.432</v>
      </c>
      <c r="D21" s="381" t="str">
        <f aca="false">IF(F21=0,"",IF((ABS(F21-F19))&gt;(0.2*F21),CONCATENATE(" rec. par taxa (",F21," %) supérieur à 20 % !"),""))</f>
        <v> rec. par taxa (17,616 %) supérieur à 20 % !</v>
      </c>
      <c r="E21" s="450" t="str">
        <f aca="false">IF(F21=0,"",IF((ABS(F21-F19))&gt;(0.2*F21),CONCATENATE("ATTENTION : écart entre rec. par grp (",F19," %) ","et",""),""))</f>
        <v>ATTENTION : écart entre rec. par grp (0 %) et</v>
      </c>
      <c r="F21" s="451" t="n">
        <f aca="false">B21+C21</f>
        <v>17.616</v>
      </c>
      <c r="G21" s="452"/>
      <c r="H21" s="381"/>
      <c r="I21" s="453"/>
      <c r="J21" s="453"/>
      <c r="K21" s="454"/>
      <c r="L21" s="454"/>
      <c r="M21" s="455"/>
      <c r="N21" s="455"/>
      <c r="O21" s="456"/>
      <c r="P21" s="457"/>
      <c r="Q21" s="458" t="s">
        <v>2666</v>
      </c>
      <c r="R21" s="280"/>
      <c r="S21" s="280"/>
      <c r="T21" s="280"/>
      <c r="U21" s="280"/>
      <c r="V21" s="280"/>
      <c r="W21" s="420" t="s">
        <v>2667</v>
      </c>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t="s">
        <v>122</v>
      </c>
      <c r="B23" s="475" t="n">
        <v>23</v>
      </c>
      <c r="C23" s="476" t="n">
        <v>4</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16.92</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16.92</v>
      </c>
      <c r="R23" s="487" t="n">
        <f aca="false">IF(OR(ISTEXT(H23),Q23=0),"",IF(Q23&lt;0.1,1,IF(Q23&lt;1,2,IF(Q23&lt;10,3,IF(Q23&lt;50,4,IF(Q23&gt;=50,5,""))))))</f>
        <v>4</v>
      </c>
      <c r="S23" s="487" t="n">
        <f aca="false">IF(ISERROR(R23*I23),0,R23*I23)</f>
        <v>24</v>
      </c>
      <c r="T23" s="487" t="n">
        <f aca="false">IF(ISERROR(R23*I23*J23),0,R23*I23*J23)</f>
        <v>24</v>
      </c>
      <c r="U23" s="487" t="n">
        <f aca="false">IF(ISERROR(R23*J23),0,R23*J23)</f>
        <v>4</v>
      </c>
      <c r="V23" s="488" t="str">
        <f aca="false">IF(AND(A23="",F23=0),"",IF(F23=0,"Il manque le(s) % de rec. !",""))</f>
        <v/>
      </c>
      <c r="W23" s="489"/>
      <c r="X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134</v>
      </c>
      <c r="B24" s="494"/>
      <c r="C24" s="495" t="n">
        <v>0.005</v>
      </c>
      <c r="D24" s="477" t="str">
        <f aca="false">IF(ISERROR(VLOOKUP($A24,'liste reference'!$A$7:$D$904,2,0)),IF(ISERROR(VLOOKUP($A24,'liste reference'!$B$7:$D$904,1,0)),"",VLOOKUP($A24,'liste reference'!$B$7:$D$904,1,0)),VLOOKUP($A24,'liste reference'!$A$7:$D$904,2,0))</f>
        <v>Enteromorpha sp.</v>
      </c>
      <c r="E24" s="496" t="e">
        <f aca="false">IF(D24="",0,VLOOKUP(D24,D$22:D23,1,0))</f>
        <v>#N/A</v>
      </c>
      <c r="F24" s="497" t="n">
        <f aca="false">($B24*$B$7+$C24*$C$7)/100</f>
        <v>0.0016</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3</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Enteromorpha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1144</v>
      </c>
      <c r="Q24" s="486" t="n">
        <f aca="false">IF(ISTEXT(H24),"",(B24*$B$7/100)+(C24*$C$7/100))</f>
        <v>0.0016</v>
      </c>
      <c r="R24" s="487" t="n">
        <f aca="false">IF(OR(ISTEXT(H24),Q24=0),"",IF(Q24&lt;0.1,1,IF(Q24&lt;1,2,IF(Q24&lt;10,3,IF(Q24&lt;50,4,IF(Q24&gt;=50,5,""))))))</f>
        <v>1</v>
      </c>
      <c r="S24" s="487" t="n">
        <f aca="false">IF(ISERROR(R24*I24),0,R24*I24)</f>
        <v>3</v>
      </c>
      <c r="T24" s="487" t="n">
        <f aca="false">IF(ISERROR(R24*I24*J24),0,R24*I24*J24)</f>
        <v>6</v>
      </c>
      <c r="U24" s="499" t="n">
        <f aca="false">IF(ISERROR(R24*J24),0,R24*J24)</f>
        <v>2</v>
      </c>
      <c r="V24" s="488" t="str">
        <f aca="false">IF(AND(A24="",F24=0),"",IF(F24=0,"Il manque le(s) % de rec. !",""))</f>
        <v/>
      </c>
      <c r="W24" s="489"/>
      <c r="Y24" s="490" t="str">
        <f aca="false">IF(A24="new.cod","NEWCOD",IF(AND((Z24=""),ISTEXT(A24)),A24,IF(Z24="","",INDEX('liste reference'!$A$8:$A$904,Z24))))</f>
        <v>ENTSPX</v>
      </c>
      <c r="Z24" s="280" t="n">
        <f aca="false">IF(ISERROR(MATCH(A24,'liste reference'!$A$8:$A$904,0)),IF(ISERROR(MATCH(A24,'liste reference'!$B$8:$B$904,0)),"",(MATCH(A24,'liste reference'!$B$8:$B$904,0))),(MATCH(A24,'liste reference'!$A$8:$A$904,0)))</f>
        <v>28</v>
      </c>
      <c r="AA24" s="491"/>
      <c r="AB24" s="492"/>
      <c r="AC24" s="492"/>
      <c r="BB24" s="280" t="n">
        <f aca="false">IF(A24="","",1)</f>
        <v>1</v>
      </c>
    </row>
    <row r="25" customFormat="false" ht="13.2" hidden="false" customHeight="false" outlineLevel="0" collapsed="false">
      <c r="A25" s="493" t="s">
        <v>301</v>
      </c>
      <c r="B25" s="494" t="n">
        <v>0.01</v>
      </c>
      <c r="C25" s="495"/>
      <c r="D25" s="477" t="str">
        <f aca="false">IF(ISERROR(VLOOKUP($A25,'liste reference'!$A$7:$D$904,2,0)),IF(ISERROR(VLOOKUP($A25,'liste reference'!$B$7:$D$904,1,0)),"",VLOOKUP($A25,'liste reference'!$B$7:$D$904,1,0)),VLOOKUP($A25,'liste reference'!$A$7:$D$904,2,0))</f>
        <v>Vaucheria sp.</v>
      </c>
      <c r="E25" s="496" t="e">
        <f aca="false">IF(D25="",0,VLOOKUP(D25,D$22:D24,1,0))</f>
        <v>#N/A</v>
      </c>
      <c r="F25" s="497" t="n">
        <f aca="false">($B25*$B$7+$C25*$C$7)/100</f>
        <v>0.0068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4</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Vaucheria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6193</v>
      </c>
      <c r="Q25" s="486" t="n">
        <f aca="false">IF(ISTEXT(H25),"",(B25*$B$7/100)+(C25*$C$7/100))</f>
        <v>0.0068</v>
      </c>
      <c r="R25" s="487" t="n">
        <f aca="false">IF(OR(ISTEXT(H25),Q25=0),"",IF(Q25&lt;0.1,1,IF(Q25&lt;1,2,IF(Q25&lt;10,3,IF(Q25&lt;50,4,IF(Q25&gt;=50,5,""))))))</f>
        <v>1</v>
      </c>
      <c r="S25" s="487" t="n">
        <f aca="false">IF(ISERROR(R25*I25),0,R25*I25)</f>
        <v>4</v>
      </c>
      <c r="T25" s="487" t="n">
        <f aca="false">IF(ISERROR(R25*I25*J25),0,R25*I25*J25)</f>
        <v>4</v>
      </c>
      <c r="U25" s="499" t="n">
        <f aca="false">IF(ISERROR(R25*J25),0,R25*J25)</f>
        <v>1</v>
      </c>
      <c r="V25" s="488" t="str">
        <f aca="false">IF(AND(A25="",F25=0),"",IF(F25=0,"Il manque le(s) % de rec. !",""))</f>
        <v/>
      </c>
      <c r="W25" s="489"/>
      <c r="Y25" s="490" t="str">
        <f aca="false">IF(A25="new.cod","NEWCOD",IF(AND((Z25=""),ISTEXT(A25)),A25,IF(Z25="","",INDEX('liste reference'!$A$8:$A$904,Z25))))</f>
        <v>VAUSPX</v>
      </c>
      <c r="Z25" s="280" t="n">
        <f aca="false">IF(ISERROR(MATCH(A25,'liste reference'!$A$8:$A$904,0)),IF(ISERROR(MATCH(A25,'liste reference'!$B$8:$B$904,0)),"",(MATCH(A25,'liste reference'!$B$8:$B$904,0))),(MATCH(A25,'liste reference'!$A$8:$A$904,0)))</f>
        <v>82</v>
      </c>
      <c r="AA25" s="491"/>
      <c r="AB25" s="492"/>
      <c r="AC25" s="492"/>
      <c r="BB25" s="280" t="n">
        <f aca="false">IF(A25="","",1)</f>
        <v>1</v>
      </c>
    </row>
    <row r="26" customFormat="false" ht="13.2" hidden="false" customHeight="false" outlineLevel="0" collapsed="false">
      <c r="A26" s="493" t="s">
        <v>512</v>
      </c>
      <c r="B26" s="494" t="n">
        <v>0.6</v>
      </c>
      <c r="C26" s="495" t="n">
        <v>0.4</v>
      </c>
      <c r="D26" s="477" t="str">
        <f aca="false">IF(ISERROR(VLOOKUP($A26,'liste reference'!$A$7:$D$904,2,0)),IF(ISERROR(VLOOKUP($A26,'liste reference'!$B$7:$D$904,1,0)),"",VLOOKUP($A26,'liste reference'!$B$7:$D$904,1,0)),VLOOKUP($A26,'liste reference'!$A$7:$D$904,2,0))</f>
        <v>Pellia endiviifolia</v>
      </c>
      <c r="E26" s="496" t="e">
        <f aca="false">IF(D26="",0,VLOOKUP(D26,D$22:D25,1,0))</f>
        <v>#N/A</v>
      </c>
      <c r="F26" s="497" t="n">
        <f aca="false">($B26*$B$7+$C26*$C$7)/100</f>
        <v>0.536</v>
      </c>
      <c r="G26" s="479" t="str">
        <f aca="false">IF(A26="","",IF(ISERROR(VLOOKUP($A26,'liste reference'!$A$7:$P$904,13,0)),IF(ISERROR(VLOOKUP($A26,'liste reference'!$B$7:$P$904,12,0)),"    -",VLOOKUP($A26,'liste reference'!$B$7:$P$904,12,0)),VLOOKUP($A26,'liste reference'!$A$7:$P$904,13,0)))</f>
        <v>BRh</v>
      </c>
      <c r="H26" s="480" t="n">
        <f aca="false">IF(A26="","x",IF(ISERROR(VLOOKUP($A26,'liste reference'!$A$8:$P$904,14,0)),IF(ISERROR(VLOOKUP($A26,'liste reference'!$B$8:$P$904,13,0)),"x",VLOOKUP($A26,'liste reference'!$B$8:$P$904,13,0)),VLOOKUP($A26,'liste reference'!$A$8:$P$904,14,0)))</f>
        <v>4</v>
      </c>
      <c r="I26" s="481" t="n">
        <f aca="false">IF(ISNUMBER(H26),IF(ISERROR(VLOOKUP($A26,'liste reference'!$A$7:$P$904,3,0)),IF(ISERROR(VLOOKUP($A26,'liste reference'!$B$7:$P$904,2,0)),"",VLOOKUP($A26,'liste reference'!$B$7:$P$904,2,0)),VLOOKUP($A26,'liste reference'!$A$7:$P$904,3,0)),"")</f>
        <v>0</v>
      </c>
      <c r="J26" s="481" t="n">
        <f aca="false">IF(ISNUMBER(H26),IF(ISERROR(VLOOKUP($A26,'liste reference'!$A$7:$P$904,4,0)),IF(ISERROR(VLOOKUP($A26,'liste reference'!$B$7:$P$904,3,0)),"",VLOOKUP($A26,'liste reference'!$B$7:$P$904,3,0)),VLOOKUP($A26,'liste reference'!$A$7:$P$904,4,0)),"")</f>
        <v>0</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Pellia endiviifolia</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1197</v>
      </c>
      <c r="Q26" s="486" t="n">
        <f aca="false">IF(ISTEXT(H26),"",(B26*$B$7/100)+(C26*$C$7/100))</f>
        <v>0.536</v>
      </c>
      <c r="R26" s="487" t="n">
        <f aca="false">IF(OR(ISTEXT(H26),Q26=0),"",IF(Q26&lt;0.1,1,IF(Q26&lt;1,2,IF(Q26&lt;10,3,IF(Q26&lt;50,4,IF(Q26&gt;=50,5,""))))))</f>
        <v>2</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PELEND</v>
      </c>
      <c r="Z26" s="280" t="n">
        <f aca="false">IF(ISERROR(MATCH(A26,'liste reference'!$A$8:$A$904,0)),IF(ISERROR(MATCH(A26,'liste reference'!$B$8:$B$904,0)),"",(MATCH(A26,'liste reference'!$B$8:$B$904,0))),(MATCH(A26,'liste reference'!$A$8:$A$904,0)))</f>
        <v>120</v>
      </c>
      <c r="AA26" s="491"/>
      <c r="AB26" s="492"/>
      <c r="AC26" s="492"/>
      <c r="BB26" s="280" t="n">
        <f aca="false">IF(A26="","",1)</f>
        <v>1</v>
      </c>
    </row>
    <row r="27" customFormat="false" ht="13.2" hidden="false" customHeight="false" outlineLevel="0" collapsed="false">
      <c r="A27" s="493" t="s">
        <v>645</v>
      </c>
      <c r="B27" s="494" t="n">
        <v>0.05</v>
      </c>
      <c r="C27" s="495"/>
      <c r="D27" s="477" t="str">
        <f aca="false">IF(ISERROR(VLOOKUP($A27,'liste reference'!$A$7:$D$904,2,0)),IF(ISERROR(VLOOKUP($A27,'liste reference'!$B$7:$D$904,1,0)),"",VLOOKUP($A27,'liste reference'!$B$7:$D$904,1,0)),VLOOKUP($A27,'liste reference'!$A$7:$D$904,2,0))</f>
        <v>Amblystegium riparium</v>
      </c>
      <c r="E27" s="496" t="e">
        <f aca="false">IF(D27="",0,VLOOKUP(D27,D$22:D26,1,0))</f>
        <v>#N/A</v>
      </c>
      <c r="F27" s="497" t="n">
        <f aca="false">($B27*$B$7+$C27*$C$7)/100</f>
        <v>0.034</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Amblystegium riparium</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1219</v>
      </c>
      <c r="Q27" s="486" t="n">
        <f aca="false">IF(ISTEXT(H27),"",(B27*$B$7/100)+(C27*$C$7/100))</f>
        <v>0.034</v>
      </c>
      <c r="R27" s="487" t="n">
        <f aca="false">IF(OR(ISTEXT(H27),Q27=0),"",IF(Q27&lt;0.1,1,IF(Q27&lt;1,2,IF(Q27&lt;10,3,IF(Q27&lt;50,4,IF(Q27&gt;=50,5,""))))))</f>
        <v>1</v>
      </c>
      <c r="S27" s="487" t="n">
        <f aca="false">IF(ISERROR(R27*I27),0,R27*I27)</f>
        <v>5</v>
      </c>
      <c r="T27" s="487" t="n">
        <f aca="false">IF(ISERROR(R27*I27*J27),0,R27*I27*J27)</f>
        <v>10</v>
      </c>
      <c r="U27" s="499" t="n">
        <f aca="false">IF(ISERROR(R27*J27),0,R27*J27)</f>
        <v>2</v>
      </c>
      <c r="V27" s="488" t="str">
        <f aca="false">IF(AND(A27="",F27=0),"",IF(F27=0,"Il manque le(s) % de rec. !",""))</f>
        <v/>
      </c>
      <c r="W27" s="489"/>
      <c r="Y27" s="490" t="str">
        <f aca="false">IF(A27="new.cod","NEWCOD",IF(AND((Z27=""),ISTEXT(A27)),A27,IF(Z27="","",INDEX('liste reference'!$A$8:$A$904,Z27))))</f>
        <v>AMBRIP</v>
      </c>
      <c r="Z27" s="280" t="n">
        <f aca="false">IF(ISERROR(MATCH(A27,'liste reference'!$A$8:$A$904,0)),IF(ISERROR(MATCH(A27,'liste reference'!$B$8:$B$904,0)),"",(MATCH(A27,'liste reference'!$B$8:$B$904,0))),(MATCH(A27,'liste reference'!$A$8:$A$904,0)))</f>
        <v>148</v>
      </c>
      <c r="AA27" s="491"/>
      <c r="AB27" s="492"/>
      <c r="AC27" s="492"/>
      <c r="BB27" s="280" t="n">
        <f aca="false">IF(A27="","",1)</f>
        <v>1</v>
      </c>
    </row>
    <row r="28" customFormat="false" ht="13.2" hidden="false" customHeight="false" outlineLevel="0" collapsed="false">
      <c r="A28" s="493" t="s">
        <v>738</v>
      </c>
      <c r="B28" s="494" t="n">
        <v>0.01</v>
      </c>
      <c r="C28" s="495"/>
      <c r="D28" s="477" t="str">
        <f aca="false">IF(ISERROR(VLOOKUP($A28,'liste reference'!$A$7:$D$904,2,0)),IF(ISERROR(VLOOKUP($A28,'liste reference'!$B$7:$D$904,1,0)),"",VLOOKUP($A28,'liste reference'!$B$7:$D$904,1,0)),VLOOKUP($A28,'liste reference'!$A$7:$D$904,2,0))</f>
        <v>Cinclidotus danubicus</v>
      </c>
      <c r="E28" s="496" t="e">
        <f aca="false">IF(D28="",0,VLOOKUP(D28,D$22:D27,1,0))</f>
        <v>#N/A</v>
      </c>
      <c r="F28" s="497" t="n">
        <f aca="false">($B28*$B$7+$C28*$C$7)/100</f>
        <v>0.0068</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3</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Cinclidotus danubicus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1319</v>
      </c>
      <c r="Q28" s="486" t="n">
        <f aca="false">IF(ISTEXT(H28),"",(B28*$B$7/100)+(C28*$C$7/100))</f>
        <v>0.0068</v>
      </c>
      <c r="R28" s="487" t="n">
        <f aca="false">IF(OR(ISTEXT(H28),Q28=0),"",IF(Q28&lt;0.1,1,IF(Q28&lt;1,2,IF(Q28&lt;10,3,IF(Q28&lt;50,4,IF(Q28&gt;=50,5,""))))))</f>
        <v>1</v>
      </c>
      <c r="S28" s="487" t="n">
        <f aca="false">IF(ISERROR(R28*I28),0,R28*I28)</f>
        <v>13</v>
      </c>
      <c r="T28" s="487" t="n">
        <f aca="false">IF(ISERROR(R28*I28*J28),0,R28*I28*J28)</f>
        <v>39</v>
      </c>
      <c r="U28" s="499" t="n">
        <f aca="false">IF(ISERROR(R28*J28),0,R28*J28)</f>
        <v>3</v>
      </c>
      <c r="V28" s="488" t="str">
        <f aca="false">IF(AND(A28="",F28=0),"",IF(F28=0,"Il manque le(s) % de rec. !",""))</f>
        <v/>
      </c>
      <c r="W28" s="489"/>
      <c r="Y28" s="490" t="str">
        <f aca="false">IF(A28="new.cod","NEWCOD",IF(AND((Z28=""),ISTEXT(A28)),A28,IF(Z28="","",INDEX('liste reference'!$A$8:$A$904,Z28))))</f>
        <v>CINDAN</v>
      </c>
      <c r="Z28" s="280" t="n">
        <f aca="false">IF(ISERROR(MATCH(A28,'liste reference'!$A$8:$A$904,0)),IF(ISERROR(MATCH(A28,'liste reference'!$B$8:$B$904,0)),"",(MATCH(A28,'liste reference'!$B$8:$B$904,0))),(MATCH(A28,'liste reference'!$A$8:$A$904,0)))</f>
        <v>171</v>
      </c>
      <c r="AA28" s="491"/>
      <c r="AB28" s="492"/>
      <c r="AC28" s="492"/>
      <c r="BB28" s="280" t="n">
        <f aca="false">IF(A28="","",1)</f>
        <v>1</v>
      </c>
    </row>
    <row r="29" customFormat="false" ht="13.2" hidden="false" customHeight="false" outlineLevel="0" collapsed="false">
      <c r="A29" s="493" t="s">
        <v>749</v>
      </c>
      <c r="B29" s="494" t="n">
        <v>0.005</v>
      </c>
      <c r="C29" s="495"/>
      <c r="D29" s="477" t="str">
        <f aca="false">IF(ISERROR(VLOOKUP($A29,'liste reference'!$A$7:$D$904,2,0)),IF(ISERROR(VLOOKUP($A29,'liste reference'!$B$7:$D$904,1,0)),"",VLOOKUP($A29,'liste reference'!$B$7:$D$904,1,0)),VLOOKUP($A29,'liste reference'!$A$7:$D$904,2,0))</f>
        <v>Cinclidotus riparius</v>
      </c>
      <c r="E29" s="496" t="e">
        <f aca="false">IF(D29="",0,VLOOKUP(D29,D$22:D28,1,0))</f>
        <v>#N/A</v>
      </c>
      <c r="F29" s="497" t="n">
        <f aca="false">($B29*$B$7+$C29*$C$7)/100</f>
        <v>0.0034</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Cinclidotus riparius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1321</v>
      </c>
      <c r="Q29" s="486" t="n">
        <f aca="false">IF(ISTEXT(H29),"",(B29*$B$7/100)+(C29*$C$7/100))</f>
        <v>0.0034</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Y29" s="490" t="str">
        <f aca="false">IF(A29="new.cod","NEWCOD",IF(AND((Z29=""),ISTEXT(A29)),A29,IF(Z29="","",INDEX('liste reference'!$A$8:$A$904,Z29))))</f>
        <v>CINRIP</v>
      </c>
      <c r="Z29" s="280" t="n">
        <f aca="false">IF(ISERROR(MATCH(A29,'liste reference'!$A$8:$A$904,0)),IF(ISERROR(MATCH(A29,'liste reference'!$B$8:$B$904,0)),"",(MATCH(A29,'liste reference'!$B$8:$B$904,0))),(MATCH(A29,'liste reference'!$A$8:$A$904,0)))</f>
        <v>174</v>
      </c>
      <c r="AA29" s="491"/>
      <c r="AB29" s="492"/>
      <c r="AC29" s="492"/>
      <c r="BB29" s="280" t="n">
        <f aca="false">IF(A29="","",1)</f>
        <v>1</v>
      </c>
    </row>
    <row r="30" customFormat="false" ht="13.2" hidden="false" customHeight="false" outlineLevel="0" collapsed="false">
      <c r="A30" s="493" t="s">
        <v>852</v>
      </c>
      <c r="B30" s="494" t="n">
        <v>0.1</v>
      </c>
      <c r="C30" s="495" t="n">
        <v>0.04</v>
      </c>
      <c r="D30" s="477" t="str">
        <f aca="false">IF(ISERROR(VLOOKUP($A30,'liste reference'!$A$7:$D$904,2,0)),IF(ISERROR(VLOOKUP($A30,'liste reference'!$B$7:$D$904,1,0)),"",VLOOKUP($A30,'liste reference'!$B$7:$D$904,1,0)),VLOOKUP($A30,'liste reference'!$A$7:$D$904,2,0))</f>
        <v>Fissidens crassipes</v>
      </c>
      <c r="E30" s="496" t="e">
        <f aca="false">IF(D30="",0,VLOOKUP(D30,D$22:D29,1,0))</f>
        <v>#N/A</v>
      </c>
      <c r="F30" s="497" t="n">
        <f aca="false">($B30*$B$7+$C30*$C$7)/100</f>
        <v>0.0808</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crassipes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1294</v>
      </c>
      <c r="Q30" s="486" t="n">
        <f aca="false">IF(ISTEXT(H30),"",(B30*$B$7/100)+(C30*$C$7/100))</f>
        <v>0.0808</v>
      </c>
      <c r="R30" s="487" t="n">
        <f aca="false">IF(OR(ISTEXT(H30),Q30=0),"",IF(Q30&lt;0.1,1,IF(Q30&lt;1,2,IF(Q30&lt;10,3,IF(Q30&lt;50,4,IF(Q30&gt;=50,5,""))))))</f>
        <v>1</v>
      </c>
      <c r="S30" s="487" t="n">
        <f aca="false">IF(ISERROR(R30*I30),0,R30*I30)</f>
        <v>12</v>
      </c>
      <c r="T30" s="487" t="n">
        <f aca="false">IF(ISERROR(R30*I30*J30),0,R30*I30*J30)</f>
        <v>24</v>
      </c>
      <c r="U30" s="499" t="n">
        <f aca="false">IF(ISERROR(R30*J30),0,R30*J30)</f>
        <v>2</v>
      </c>
      <c r="V30" s="488" t="str">
        <f aca="false">IF(AND(A30="",F30=0),"",IF(F30=0,"Il manque le(s) % de rec. !",""))</f>
        <v/>
      </c>
      <c r="W30" s="489"/>
      <c r="Y30" s="490" t="str">
        <f aca="false">IF(A30="new.cod","NEWCOD",IF(AND((Z30=""),ISTEXT(A30)),A30,IF(Z30="","",INDEX('liste reference'!$A$8:$A$904,Z30))))</f>
        <v>FISCRA</v>
      </c>
      <c r="Z30" s="280" t="n">
        <f aca="false">IF(ISERROR(MATCH(A30,'liste reference'!$A$8:$A$904,0)),IF(ISERROR(MATCH(A30,'liste reference'!$B$8:$B$904,0)),"",(MATCH(A30,'liste reference'!$B$8:$B$904,0))),(MATCH(A30,'liste reference'!$A$8:$A$904,0)))</f>
        <v>197</v>
      </c>
      <c r="AA30" s="491"/>
      <c r="AB30" s="492"/>
      <c r="AC30" s="492"/>
      <c r="BB30" s="280" t="n">
        <f aca="false">IF(A30="","",1)</f>
        <v>1</v>
      </c>
    </row>
    <row r="31" customFormat="false" ht="13.2" hidden="false" customHeight="false" outlineLevel="0" collapsed="false">
      <c r="A31" s="493" t="s">
        <v>1487</v>
      </c>
      <c r="B31" s="494" t="n">
        <v>0.01</v>
      </c>
      <c r="C31" s="495"/>
      <c r="D31" s="477" t="str">
        <f aca="false">IF(ISERROR(VLOOKUP($A31,'liste reference'!$A$7:$D$904,2,0)),IF(ISERROR(VLOOKUP($A31,'liste reference'!$B$7:$D$904,1,0)),"",VLOOKUP($A31,'liste reference'!$B$7:$D$904,1,0)),VLOOKUP($A31,'liste reference'!$A$7:$D$904,2,0))</f>
        <v>Potamogeton pectinatus</v>
      </c>
      <c r="E31" s="496" t="e">
        <f aca="false">IF(D31="",0,VLOOKUP(D31,D$22:D30,1,0))</f>
        <v>#N/A</v>
      </c>
      <c r="F31" s="497" t="n">
        <f aca="false">($B31*$B$7+$C31*$C$7)/100</f>
        <v>0.0068</v>
      </c>
      <c r="G31" s="479" t="str">
        <f aca="false">IF(A31="","",IF(ISERROR(VLOOKUP($A31,'liste reference'!$A$7:$P$904,13,0)),IF(ISERROR(VLOOKUP($A31,'liste reference'!$B$7:$P$904,12,0)),"    -",VLOOKUP($A31,'liste reference'!$B$7:$P$904,12,0)),VLOOKUP($A31,'liste reference'!$A$7:$P$904,13,0)))</f>
        <v>PHy</v>
      </c>
      <c r="H31" s="480" t="n">
        <f aca="false">IF(A31="","x",IF(ISERROR(VLOOKUP($A31,'liste reference'!$A$8:$P$904,14,0)),IF(ISERROR(VLOOKUP($A31,'liste reference'!$B$8:$P$904,13,0)),"x",VLOOKUP($A31,'liste reference'!$B$8:$P$904,13,0)),VLOOKUP($A31,'liste reference'!$A$8:$P$904,14,0)))</f>
        <v>7</v>
      </c>
      <c r="I31" s="481" t="n">
        <f aca="false">IF(ISNUMBER(H31),IF(ISERROR(VLOOKUP($A31,'liste reference'!$A$7:$P$904,3,0)),IF(ISERROR(VLOOKUP($A31,'liste reference'!$B$7:$P$904,2,0)),"",VLOOKUP($A31,'liste reference'!$B$7:$P$904,2,0)),VLOOKUP($A31,'liste reference'!$A$7:$P$904,3,0)),"")</f>
        <v>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Potamogeton pectinatus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1655</v>
      </c>
      <c r="Q31" s="486" t="n">
        <f aca="false">IF(ISTEXT(H31),"",(B31*$B$7/100)+(C31*$C$7/100))</f>
        <v>0.0068</v>
      </c>
      <c r="R31" s="487" t="n">
        <f aca="false">IF(OR(ISTEXT(H31),Q31=0),"",IF(Q31&lt;0.1,1,IF(Q31&lt;1,2,IF(Q31&lt;10,3,IF(Q31&lt;50,4,IF(Q31&gt;=50,5,""))))))</f>
        <v>1</v>
      </c>
      <c r="S31" s="487" t="n">
        <f aca="false">IF(ISERROR(R31*I31),0,R31*I31)</f>
        <v>2</v>
      </c>
      <c r="T31" s="487" t="n">
        <f aca="false">IF(ISERROR(R31*I31*J31),0,R31*I31*J31)</f>
        <v>4</v>
      </c>
      <c r="U31" s="499" t="n">
        <f aca="false">IF(ISERROR(R31*J31),0,R31*J31)</f>
        <v>2</v>
      </c>
      <c r="V31" s="488" t="str">
        <f aca="false">IF(AND(A31="",F31=0),"",IF(F31=0,"Il manque le(s) % de rec. !",""))</f>
        <v/>
      </c>
      <c r="W31" s="489"/>
      <c r="Y31" s="490" t="str">
        <f aca="false">IF(A31="new.cod","NEWCOD",IF(AND((Z31=""),ISTEXT(A31)),A31,IF(Z31="","",INDEX('liste reference'!$A$8:$A$904,Z31))))</f>
        <v>POTPEC</v>
      </c>
      <c r="Z31" s="280" t="n">
        <f aca="false">IF(ISERROR(MATCH(A31,'liste reference'!$A$8:$A$904,0)),IF(ISERROR(MATCH(A31,'liste reference'!$B$8:$B$904,0)),"",(MATCH(A31,'liste reference'!$B$8:$B$904,0))),(MATCH(A31,'liste reference'!$A$8:$A$904,0)))</f>
        <v>421</v>
      </c>
      <c r="AA31" s="491"/>
      <c r="AB31" s="492"/>
      <c r="AC31" s="492"/>
      <c r="BB31" s="280" t="n">
        <f aca="false">IF(A31="","",1)</f>
        <v>1</v>
      </c>
    </row>
    <row r="32" customFormat="false" ht="13.2" hidden="false" customHeight="false" outlineLevel="0" collapsed="false">
      <c r="A32" s="493" t="s">
        <v>1708</v>
      </c>
      <c r="B32" s="494"/>
      <c r="C32" s="495" t="n">
        <v>0.005</v>
      </c>
      <c r="D32" s="477" t="str">
        <f aca="false">IF(ISERROR(VLOOKUP($A32,'liste reference'!$A$7:$D$904,2,0)),IF(ISERROR(VLOOKUP($A32,'liste reference'!$B$7:$D$904,1,0)),"",VLOOKUP($A32,'liste reference'!$B$7:$D$904,1,0)),VLOOKUP($A32,'liste reference'!$A$7:$D$904,2,0))</f>
        <v>Agrostis stolonifera</v>
      </c>
      <c r="E32" s="496" t="e">
        <f aca="false">IF(D32="",0,VLOOKUP(D32,D$22:D31,1,0))</f>
        <v>#N/A</v>
      </c>
      <c r="F32" s="497" t="n">
        <f aca="false">($B32*$B$7+$C32*$C$7)/100</f>
        <v>0.0016</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Agrostis stolonifera</v>
      </c>
      <c r="L32" s="498"/>
      <c r="M32" s="498"/>
      <c r="N32" s="498"/>
      <c r="O32" s="484" t="s">
        <v>2686</v>
      </c>
      <c r="P32" s="485" t="n">
        <f aca="false">IF($A32="NEWCOD",IF($AC32="","No",$AC32),IF(ISTEXT($E32),"DEJA SAISI !",IF($A32="","",IF(ISERROR(VLOOKUP($A32,'liste reference'!A:S,19,FALSE())),IF(ISERROR(VLOOKUP($A32,'liste reference'!B:S,19,FALSE())),"",VLOOKUP($A32,'liste reference'!B:S,19,FALSE())),VLOOKUP($A32,'liste reference'!A:S,19,FALSE())))))</f>
        <v>1543</v>
      </c>
      <c r="Q32" s="486" t="n">
        <f aca="false">IF(ISTEXT(H32),"",(B32*$B$7/100)+(C32*$C$7/100))</f>
        <v>0.0016</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AGRSTO</v>
      </c>
      <c r="Z32" s="280" t="n">
        <f aca="false">IF(ISERROR(MATCH(A32,'liste reference'!$A$8:$A$904,0)),IF(ISERROR(MATCH(A32,'liste reference'!$B$8:$B$904,0)),"",(MATCH(A32,'liste reference'!$B$8:$B$904,0))),(MATCH(A32,'liste reference'!$A$8:$A$904,0)))</f>
        <v>514</v>
      </c>
      <c r="AA32" s="491" t="s">
        <v>2686</v>
      </c>
      <c r="AB32" s="492"/>
      <c r="AC32" s="492"/>
      <c r="BB32" s="280" t="n">
        <f aca="false">IF(A32="","",1)</f>
        <v>1</v>
      </c>
    </row>
    <row r="33" customFormat="false" ht="13.2" hidden="false" customHeight="false" outlineLevel="0" collapsed="false">
      <c r="A33" s="493" t="s">
        <v>1923</v>
      </c>
      <c r="B33" s="494" t="n">
        <v>0.01</v>
      </c>
      <c r="C33" s="495" t="n">
        <v>0.01</v>
      </c>
      <c r="D33" s="477" t="str">
        <f aca="false">IF(ISERROR(VLOOKUP($A33,'liste reference'!$A$7:$D$904,2,0)),IF(ISERROR(VLOOKUP($A33,'liste reference'!$B$7:$D$904,1,0)),"",VLOOKUP($A33,'liste reference'!$B$7:$D$904,1,0)),VLOOKUP($A33,'liste reference'!$A$7:$D$904,2,0))</f>
        <v>Lysimachia vulgaris</v>
      </c>
      <c r="E33" s="496" t="e">
        <f aca="false">IF(D33="",0,VLOOKUP(D33,D$22:D32,1,0))</f>
        <v>#N/A</v>
      </c>
      <c r="F33" s="497" t="n">
        <f aca="false">($B33*$B$7+$C33*$C$7)/100</f>
        <v>0.01</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Lysimachia vulgaris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1887</v>
      </c>
      <c r="Q33" s="486" t="n">
        <f aca="false">IF(ISTEXT(H33),"",(B33*$B$7/100)+(C33*$C$7/100))</f>
        <v>0.01</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LYSVUL</v>
      </c>
      <c r="Z33" s="280" t="n">
        <f aca="false">IF(ISERROR(MATCH(A33,'liste reference'!$A$8:$A$904,0)),IF(ISERROR(MATCH(A33,'liste reference'!$B$8:$B$904,0)),"",(MATCH(A33,'liste reference'!$B$8:$B$904,0))),(MATCH(A33,'liste reference'!$A$8:$A$904,0)))</f>
        <v>601</v>
      </c>
      <c r="AA33" s="491"/>
      <c r="AB33" s="492"/>
      <c r="AC33" s="492"/>
      <c r="BB33" s="280" t="n">
        <f aca="false">IF(A33="","",1)</f>
        <v>1</v>
      </c>
    </row>
    <row r="34" customFormat="false" ht="13.2" hidden="false" customHeight="false" outlineLevel="0" collapsed="false">
      <c r="A34" s="493" t="s">
        <v>1932</v>
      </c>
      <c r="B34" s="494"/>
      <c r="C34" s="495" t="n">
        <v>0.005</v>
      </c>
      <c r="D34" s="477" t="str">
        <f aca="false">IF(ISERROR(VLOOKUP($A34,'liste reference'!$A$7:$D$904,2,0)),IF(ISERROR(VLOOKUP($A34,'liste reference'!$B$7:$D$904,1,0)),"",VLOOKUP($A34,'liste reference'!$B$7:$D$904,1,0)),VLOOKUP($A34,'liste reference'!$A$7:$D$904,2,0))</f>
        <v>Lythrum salicaria</v>
      </c>
      <c r="E34" s="496" t="e">
        <f aca="false">IF(D34="",0,VLOOKUP(D34,D$22:D33,1,0))</f>
        <v>#N/A</v>
      </c>
      <c r="F34" s="500" t="n">
        <f aca="false">($B34*$B$7+$C34*$C$7)/100</f>
        <v>0.0016</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Lythrum salicaria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1823</v>
      </c>
      <c r="Q34" s="486" t="n">
        <f aca="false">IF(ISTEXT(H34),"",(B34*$B$7/100)+(C34*$C$7/100))</f>
        <v>0.0016</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LYTSAL</v>
      </c>
      <c r="Z34" s="280" t="n">
        <f aca="false">IF(ISERROR(MATCH(A34,'liste reference'!$A$8:$A$904,0)),IF(ISERROR(MATCH(A34,'liste reference'!$B$8:$B$904,0)),"",(MATCH(A34,'liste reference'!$B$8:$B$904,0))),(MATCH(A34,'liste reference'!$A$8:$A$904,0)))</f>
        <v>605</v>
      </c>
      <c r="AA34" s="491"/>
      <c r="AB34" s="492"/>
      <c r="AC34" s="492"/>
      <c r="BB34" s="280" t="n">
        <f aca="false">IF(A34="","",1)</f>
        <v>1</v>
      </c>
    </row>
    <row r="35" customFormat="false" ht="13.2" hidden="false" customHeight="false" outlineLevel="0" collapsed="false">
      <c r="A35" s="493" t="s">
        <v>2002</v>
      </c>
      <c r="B35" s="494"/>
      <c r="C35" s="495" t="n">
        <v>0.01</v>
      </c>
      <c r="D35" s="477" t="str">
        <f aca="false">IF(ISERROR(VLOOKUP($A35,'liste reference'!$A$7:$D$904,2,0)),IF(ISERROR(VLOOKUP($A35,'liste reference'!$B$7:$D$904,1,0)),"",VLOOKUP($A35,'liste reference'!$B$7:$D$904,1,0)),VLOOKUP($A35,'liste reference'!$A$7:$D$904,2,0))</f>
        <v>Phragmites australis</v>
      </c>
      <c r="E35" s="496" t="e">
        <f aca="false">IF(D35="",0,VLOOKUP(D35,D$22:D34,1,0))</f>
        <v>#N/A</v>
      </c>
      <c r="F35" s="500" t="n">
        <f aca="false">($B35*$B$7+$C35*$C$7)/100</f>
        <v>0.0032</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9</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Phragmites australis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1579</v>
      </c>
      <c r="Q35" s="486" t="n">
        <f aca="false">IF(ISTEXT(H35),"",(B35*$B$7/100)+(C35*$C$7/100))</f>
        <v>0.0032</v>
      </c>
      <c r="R35" s="487" t="n">
        <f aca="false">IF(OR(ISTEXT(H35),Q35=0),"",IF(Q35&lt;0.1,1,IF(Q35&lt;1,2,IF(Q35&lt;10,3,IF(Q35&lt;50,4,IF(Q35&gt;=50,5,""))))))</f>
        <v>1</v>
      </c>
      <c r="S35" s="487" t="n">
        <f aca="false">IF(ISERROR(R35*I35),0,R35*I35)</f>
        <v>9</v>
      </c>
      <c r="T35" s="487" t="n">
        <f aca="false">IF(ISERROR(R35*I35*J35),0,R35*I35*J35)</f>
        <v>18</v>
      </c>
      <c r="U35" s="499" t="n">
        <f aca="false">IF(ISERROR(R35*J35),0,R35*J35)</f>
        <v>2</v>
      </c>
      <c r="V35" s="488" t="str">
        <f aca="false">IF(AND(A35="",F35=0),"",IF(F35=0,"Il manque le(s) % de rec. !",""))</f>
        <v/>
      </c>
      <c r="W35" s="501"/>
      <c r="Y35" s="490" t="str">
        <f aca="false">IF(A35="new.cod","NEWCOD",IF(AND((Z35=""),ISTEXT(A35)),A35,IF(Z35="","",INDEX('liste reference'!$A$8:$A$904,Z35))))</f>
        <v>PHRAUS</v>
      </c>
      <c r="Z35" s="280" t="n">
        <f aca="false">IF(ISERROR(MATCH(A35,'liste reference'!$A$8:$A$904,0)),IF(ISERROR(MATCH(A35,'liste reference'!$B$8:$B$904,0)),"",(MATCH(A35,'liste reference'!$B$8:$B$904,0))),(MATCH(A35,'liste reference'!$A$8:$A$904,0)))</f>
        <v>635</v>
      </c>
      <c r="AA35" s="491"/>
      <c r="AB35" s="492"/>
      <c r="AC35" s="492"/>
      <c r="BB35" s="280" t="n">
        <f aca="false">IF(A35="","",1)</f>
        <v>1</v>
      </c>
    </row>
    <row r="36" customFormat="false" ht="13.2" hidden="false" customHeight="false" outlineLevel="0" collapsed="false">
      <c r="A36" s="493" t="s">
        <v>2687</v>
      </c>
      <c r="B36" s="494" t="n">
        <v>0.005</v>
      </c>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0.0034</v>
      </c>
      <c r="G36" s="479" t="str">
        <f aca="false">IF(A36="","",IF(ISERROR(VLOOKUP($A36,'liste reference'!$A$7:$P$904,13,0)),IF(ISERROR(VLOOKUP($A36,'liste reference'!$B$7:$P$904,12,0)),"    -",VLOOKUP($A36,'liste reference'!$B$7:$P$904,12,0)),VLOOKUP($A36,'liste reference'!$A$7:$P$904,13,0)))</f>
        <v>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Biddulphia sp.</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No</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NEWCOD</v>
      </c>
      <c r="Z36" s="280" t="str">
        <f aca="false">IF(ISERROR(MATCH(A36,'liste reference'!$A$8:$A$904,0)),IF(ISERROR(MATCH(A36,'liste reference'!$B$8:$B$904,0)),"",(MATCH(A36,'liste reference'!$B$8:$B$904,0))),(MATCH(A36,'liste reference'!$A$8:$A$904,0)))</f>
        <v/>
      </c>
      <c r="AA36" s="491"/>
      <c r="AB36" s="492" t="s">
        <v>2688</v>
      </c>
      <c r="AC36" s="492"/>
      <c r="BB36" s="280" t="n">
        <f aca="false">IF(A36="","",1)</f>
        <v>1</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Argens</v>
      </c>
      <c r="B84" s="529" t="str">
        <f aca="false">C3</f>
        <v>Thoronet</v>
      </c>
      <c r="C84" s="530" t="n">
        <f aca="false">A4</f>
        <v>41513</v>
      </c>
      <c r="D84" s="531" t="n">
        <f aca="false">IF(ISERROR(SUM($T$23:$T$82)/SUM($U$23:$U$82)),"",SUM($T$23:$T$82)/SUM($U$23:$U$82))</f>
        <v>7.85714285714286</v>
      </c>
      <c r="E84" s="532" t="n">
        <f aca="false">N13</f>
        <v>14</v>
      </c>
      <c r="F84" s="529" t="n">
        <f aca="false">N14</f>
        <v>13</v>
      </c>
      <c r="G84" s="529" t="n">
        <f aca="false">N15</f>
        <v>3</v>
      </c>
      <c r="H84" s="529" t="n">
        <f aca="false">N16</f>
        <v>6</v>
      </c>
      <c r="I84" s="529" t="n">
        <f aca="false">N17</f>
        <v>1</v>
      </c>
      <c r="J84" s="533" t="n">
        <f aca="false">N8</f>
        <v>5.92307692307692</v>
      </c>
      <c r="K84" s="531" t="n">
        <f aca="false">N9</f>
        <v>4.77914602061818</v>
      </c>
      <c r="L84" s="532" t="n">
        <f aca="false">N10</f>
        <v>0</v>
      </c>
      <c r="M84" s="532" t="n">
        <f aca="false">N11</f>
        <v>13</v>
      </c>
      <c r="N84" s="531" t="n">
        <f aca="false">O8</f>
        <v>1.38461538461538</v>
      </c>
      <c r="O84" s="531" t="n">
        <f aca="false">O9</f>
        <v>0.923076923076923</v>
      </c>
      <c r="P84" s="532" t="n">
        <f aca="false">O10</f>
        <v>0</v>
      </c>
      <c r="Q84" s="532" t="n">
        <f aca="false">O11</f>
        <v>3</v>
      </c>
      <c r="R84" s="532" t="n">
        <f aca="false">F21</f>
        <v>17.616</v>
      </c>
      <c r="S84" s="532" t="n">
        <f aca="false">K11</f>
        <v>0</v>
      </c>
      <c r="T84" s="532" t="n">
        <f aca="false">K12</f>
        <v>3</v>
      </c>
      <c r="U84" s="532" t="n">
        <f aca="false">K13</f>
        <v>5</v>
      </c>
      <c r="V84" s="534" t="n">
        <f aca="false">K14</f>
        <v>0</v>
      </c>
      <c r="W84" s="535" t="n">
        <f aca="false">K15</f>
        <v>5</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2690</v>
      </c>
      <c r="R86" s="280"/>
      <c r="S86" s="488"/>
      <c r="T86" s="280"/>
      <c r="U86" s="280"/>
      <c r="V86" s="280"/>
    </row>
    <row r="87" customFormat="false" ht="13.2" hidden="true" customHeight="false" outlineLevel="0" collapsed="false">
      <c r="P87" s="280"/>
      <c r="Q87" s="280" t="s">
        <v>2691</v>
      </c>
      <c r="R87" s="280"/>
      <c r="S87" s="488" t="n">
        <f aca="false">VLOOKUP(MAX($S$23:$S$82),($S$23:$U$82),1,0)</f>
        <v>24</v>
      </c>
      <c r="T87" s="280"/>
      <c r="U87" s="280"/>
      <c r="V87" s="280"/>
    </row>
    <row r="88" customFormat="false" ht="13.2" hidden="true" customHeight="false" outlineLevel="0" collapsed="false">
      <c r="P88" s="280"/>
      <c r="Q88" s="280" t="s">
        <v>2692</v>
      </c>
      <c r="R88" s="280"/>
      <c r="S88" s="488" t="n">
        <f aca="false">VLOOKUP((S87),($S$23:$U$82),2,0)</f>
        <v>24</v>
      </c>
      <c r="T88" s="280"/>
      <c r="U88" s="280"/>
      <c r="V88" s="280"/>
    </row>
    <row r="89" customFormat="false" ht="13.2" hidden="true" customHeight="false" outlineLevel="0" collapsed="false">
      <c r="Q89" s="280" t="s">
        <v>2693</v>
      </c>
      <c r="R89" s="280"/>
      <c r="S89" s="488" t="n">
        <f aca="false">VLOOKUP((S87),($S$23:$U$82),3,0)</f>
        <v>4</v>
      </c>
      <c r="T89" s="280"/>
    </row>
    <row r="90" customFormat="false" ht="13.2" hidden="false" customHeight="false" outlineLevel="0" collapsed="false">
      <c r="Q90" s="280" t="s">
        <v>2694</v>
      </c>
      <c r="R90" s="280"/>
      <c r="S90" s="538" t="n">
        <f aca="false">IF(ISERROR(SUM($T$23:$T$82)/SUM($U$23:$U$82)),"",(SUM($T$23:$T$82)-S88)/(SUM($U$23:$U$82)-S89))</f>
        <v>8.29411764705882</v>
      </c>
      <c r="T90" s="280"/>
    </row>
    <row r="91" customFormat="false" ht="13.2" hidden="false" customHeight="false" outlineLevel="0" collapsed="false">
      <c r="Q91" s="487" t="s">
        <v>2695</v>
      </c>
      <c r="R91" s="487"/>
      <c r="S91" s="487" t="str">
        <f aca="false">INDEX('liste reference'!$A$8:$A$904,$T$91)</f>
        <v>CLASPX</v>
      </c>
      <c r="T91" s="280" t="n">
        <f aca="false">IF(ISERROR(MATCH($S$93,'liste reference'!$A$8:$A$904,0)),MATCH($S$93,'liste reference'!$B$8:$B$904,0),(MATCH($S$93,'liste reference'!$A$8:$A$904,0)))</f>
        <v>23</v>
      </c>
      <c r="U91" s="527"/>
    </row>
    <row r="92" customFormat="false" ht="13.2" hidden="false" customHeight="false" outlineLevel="0" collapsed="false">
      <c r="Q92" s="280" t="s">
        <v>2696</v>
      </c>
      <c r="R92" s="280"/>
      <c r="S92" s="280" t="n">
        <f aca="false">MATCH(S87,$S$23:$S$82,0)</f>
        <v>1</v>
      </c>
      <c r="T92" s="280"/>
    </row>
    <row r="93" customFormat="false" ht="13.2" hidden="false" customHeight="false" outlineLevel="0" collapsed="false">
      <c r="Q93" s="487" t="s">
        <v>2697</v>
      </c>
      <c r="R93" s="280"/>
      <c r="S93" s="487" t="str">
        <f aca="false">INDEX($A$23:$A$82,$S$92)</f>
        <v>CLASPX</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8"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3.2"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2690</v>
      </c>
      <c r="R86" s="280"/>
      <c r="S86" s="488"/>
      <c r="T86" s="280"/>
      <c r="U86" s="280"/>
      <c r="V86" s="280"/>
    </row>
    <row r="87" customFormat="false" ht="13.2" hidden="true" customHeight="false" outlineLevel="0" collapsed="false">
      <c r="P87" s="280"/>
      <c r="Q87" s="280" t="s">
        <v>2691</v>
      </c>
      <c r="R87" s="280"/>
      <c r="S87" s="488" t="n">
        <f aca="false">VLOOKUP(MAX($S$23:$S$82),($S$23:$U$82),1,0)</f>
        <v>0</v>
      </c>
      <c r="T87" s="280"/>
      <c r="U87" s="280"/>
      <c r="V87" s="280"/>
    </row>
    <row r="88" customFormat="false" ht="13.2" hidden="true" customHeight="false" outlineLevel="0" collapsed="false">
      <c r="P88" s="280"/>
      <c r="Q88" s="280" t="s">
        <v>2692</v>
      </c>
      <c r="R88" s="280"/>
      <c r="S88" s="488" t="n">
        <f aca="false">VLOOKUP((S87),($S$23:$U$82),2,0)</f>
        <v>0</v>
      </c>
      <c r="T88" s="280"/>
      <c r="U88" s="280"/>
      <c r="V88" s="280"/>
    </row>
    <row r="89" customFormat="false" ht="13.2" hidden="true" customHeight="false" outlineLevel="0" collapsed="false">
      <c r="Q89" s="280" t="s">
        <v>2693</v>
      </c>
      <c r="R89" s="280"/>
      <c r="S89" s="488" t="n">
        <f aca="false">VLOOKUP((S87),($S$23:$U$82),3,0)</f>
        <v>0</v>
      </c>
      <c r="T89" s="280"/>
    </row>
    <row r="90" customFormat="false" ht="13.2" hidden="false" customHeight="false" outlineLevel="0" collapsed="false">
      <c r="Q90" s="280" t="s">
        <v>2694</v>
      </c>
      <c r="R90" s="280"/>
      <c r="S90" s="538" t="str">
        <f aca="false">IF(ISERROR(SUM($T$23:$T$82)/SUM($U$23:$U$82)),"",(SUM($T$23:$T$82)-S88)/(SUM($U$23:$U$82)-S89))</f>
        <v/>
      </c>
      <c r="T90" s="280"/>
    </row>
    <row r="91" customFormat="false" ht="13.2"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2696</v>
      </c>
      <c r="R92" s="280"/>
      <c r="S92" s="280" t="n">
        <f aca="false">MATCH(S87,$S$23:$S$82,0)</f>
        <v>1</v>
      </c>
      <c r="T92" s="280"/>
    </row>
    <row r="93" customFormat="false" ht="13.2" hidden="false" customHeight="false" outlineLevel="0" collapsed="false">
      <c r="Q93" s="487" t="s">
        <v>2697</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2705</v>
      </c>
      <c r="B1" s="549"/>
      <c r="C1" s="549"/>
      <c r="D1" s="549"/>
    </row>
    <row r="2" customFormat="false" ht="13.8" hidden="false" customHeight="false" outlineLevel="0" collapsed="false">
      <c r="A2" s="550" t="s">
        <v>2706</v>
      </c>
      <c r="B2" s="551"/>
      <c r="C2" s="552"/>
      <c r="D2" s="552"/>
    </row>
    <row r="3" customFormat="false" ht="14.4" hidden="false" customHeight="false" outlineLevel="0" collapsed="false">
      <c r="A3" s="550" t="s">
        <v>2707</v>
      </c>
      <c r="B3" s="551"/>
      <c r="C3" s="552"/>
      <c r="D3" s="553" t="s">
        <v>2708</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2709</v>
      </c>
      <c r="G15" s="571"/>
      <c r="H15" s="572" t="s">
        <v>2710</v>
      </c>
      <c r="I15" s="571"/>
    </row>
    <row r="16" customFormat="false" ht="14.4" hidden="false" customHeight="false" outlineLevel="0" collapsed="false">
      <c r="A16" s="567" t="s">
        <v>1708</v>
      </c>
      <c r="B16" s="566" t="s">
        <v>1709</v>
      </c>
      <c r="C16" s="568"/>
      <c r="D16" s="569"/>
      <c r="F16" s="573" t="s">
        <v>2711</v>
      </c>
      <c r="G16" s="574"/>
      <c r="H16" s="573" t="s">
        <v>2711</v>
      </c>
      <c r="I16" s="575"/>
    </row>
    <row r="17" customFormat="false" ht="14.4" hidden="false" customHeight="false" outlineLevel="0" collapsed="false">
      <c r="A17" s="565" t="s">
        <v>2127</v>
      </c>
      <c r="B17" s="566" t="s">
        <v>2128</v>
      </c>
      <c r="C17" s="568"/>
      <c r="D17" s="569"/>
      <c r="F17" s="576" t="s">
        <v>2624</v>
      </c>
      <c r="G17" s="577"/>
      <c r="H17" s="576" t="s">
        <v>2624</v>
      </c>
      <c r="I17" s="578"/>
    </row>
    <row r="18" customFormat="false" ht="14.4" hidden="false" customHeight="false" outlineLevel="0" collapsed="false">
      <c r="A18" s="565" t="s">
        <v>1212</v>
      </c>
      <c r="B18" s="566" t="s">
        <v>1213</v>
      </c>
      <c r="C18" s="568"/>
      <c r="D18" s="569"/>
      <c r="F18" s="576" t="s">
        <v>2712</v>
      </c>
      <c r="G18" s="577"/>
      <c r="H18" s="576" t="s">
        <v>2712</v>
      </c>
      <c r="I18" s="578"/>
    </row>
    <row r="19" customFormat="false" ht="14.4" hidden="false" customHeight="false" outlineLevel="0" collapsed="false">
      <c r="A19" s="565" t="s">
        <v>1711</v>
      </c>
      <c r="B19" s="566" t="s">
        <v>1712</v>
      </c>
      <c r="C19" s="568"/>
      <c r="D19" s="569"/>
      <c r="F19" s="576" t="s">
        <v>2713</v>
      </c>
      <c r="G19" s="577"/>
      <c r="H19" s="576" t="s">
        <v>2713</v>
      </c>
      <c r="I19" s="578"/>
    </row>
    <row r="20" customFormat="false" ht="14.4" hidden="false" customHeight="false" outlineLevel="0" collapsed="false">
      <c r="A20" s="567" t="s">
        <v>1714</v>
      </c>
      <c r="B20" s="566" t="s">
        <v>1715</v>
      </c>
      <c r="C20" s="568"/>
      <c r="D20" s="569"/>
      <c r="F20" s="576" t="s">
        <v>2714</v>
      </c>
      <c r="G20" s="577"/>
      <c r="H20" s="576" t="s">
        <v>2714</v>
      </c>
      <c r="I20" s="578"/>
    </row>
    <row r="21" customFormat="false" ht="14.4" hidden="false" customHeight="false" outlineLevel="0" collapsed="false">
      <c r="A21" s="567" t="s">
        <v>1720</v>
      </c>
      <c r="B21" s="566" t="s">
        <v>1721</v>
      </c>
      <c r="C21" s="568"/>
      <c r="D21" s="569"/>
      <c r="F21" s="576" t="s">
        <v>2715</v>
      </c>
      <c r="G21" s="577"/>
      <c r="H21" s="576" t="s">
        <v>2715</v>
      </c>
      <c r="I21" s="578"/>
    </row>
    <row r="22" customFormat="false" ht="14.4" hidden="false" customHeight="false" outlineLevel="0" collapsed="false">
      <c r="A22" s="565" t="s">
        <v>1726</v>
      </c>
      <c r="B22" s="566" t="s">
        <v>1727</v>
      </c>
      <c r="C22" s="568"/>
      <c r="D22" s="569"/>
      <c r="F22" s="576" t="s">
        <v>2716</v>
      </c>
      <c r="G22" s="577"/>
      <c r="H22" s="576" t="s">
        <v>2716</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2717</v>
      </c>
      <c r="G24" s="577"/>
      <c r="H24" s="576" t="s">
        <v>2717</v>
      </c>
      <c r="I24" s="578"/>
    </row>
    <row r="25" customFormat="false" ht="14.4" hidden="false" customHeight="false" outlineLevel="0" collapsed="false">
      <c r="A25" s="565" t="s">
        <v>2133</v>
      </c>
      <c r="B25" s="566" t="s">
        <v>2134</v>
      </c>
      <c r="C25" s="568"/>
      <c r="D25" s="569"/>
      <c r="F25" s="579" t="s">
        <v>2718</v>
      </c>
      <c r="G25" s="580"/>
      <c r="H25" s="579" t="s">
        <v>2718</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2683</v>
      </c>
    </row>
    <row r="29" customFormat="false" ht="14.4" hidden="false" customHeight="false" outlineLevel="0" collapsed="false">
      <c r="A29" s="565" t="s">
        <v>1219</v>
      </c>
      <c r="B29" s="566" t="s">
        <v>1220</v>
      </c>
      <c r="C29" s="568"/>
      <c r="D29" s="569"/>
      <c r="F29" s="583" t="s">
        <v>2686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2719</v>
      </c>
    </row>
    <row r="35" customFormat="false" ht="14.4" hidden="false" customHeight="false" outlineLevel="0" collapsed="false">
      <c r="A35" s="565" t="s">
        <v>52</v>
      </c>
      <c r="B35" s="566" t="s">
        <v>53</v>
      </c>
      <c r="C35" s="568"/>
      <c r="D35" s="569"/>
      <c r="F35" s="583" t="s">
        <v>2720</v>
      </c>
    </row>
    <row r="36" customFormat="false" ht="14.4" hidden="false" customHeight="false" outlineLevel="0" collapsed="false">
      <c r="A36" s="567" t="s">
        <v>320</v>
      </c>
      <c r="B36" s="566" t="s">
        <v>321</v>
      </c>
      <c r="C36" s="568"/>
      <c r="D36" s="569"/>
      <c r="F36" s="585" t="s">
        <v>2639</v>
      </c>
    </row>
    <row r="37" customFormat="false" ht="14.4" hidden="false" customHeight="false" outlineLevel="0" collapsed="false">
      <c r="A37" s="565" t="s">
        <v>2142</v>
      </c>
      <c r="B37" s="566" t="s">
        <v>2721</v>
      </c>
      <c r="C37" s="568"/>
      <c r="D37" s="569"/>
      <c r="F37" s="585" t="s">
        <v>2638</v>
      </c>
    </row>
    <row r="38" customFormat="false" ht="14.4" hidden="false" customHeight="false" outlineLevel="0" collapsed="false">
      <c r="A38" s="565" t="s">
        <v>2145</v>
      </c>
      <c r="B38" s="566" t="s">
        <v>2146</v>
      </c>
      <c r="C38" s="568"/>
      <c r="D38" s="569"/>
      <c r="F38" s="585" t="s">
        <v>2722</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2723</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2724</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2725</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2726</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2727</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2728</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2729</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2014-04-07T16:42:44Z</dcterms:modified>
  <cp:revision>0</cp:revision>
  <dc:subject/>
  <dc:title>Feuille d'aide au calcul de l'IBMR</dc:title>
</cp:coreProperties>
</file>