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13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<sst xmlns="http://schemas.openxmlformats.org/spreadsheetml/2006/main" count="210" uniqueCount="105">
  <si>
    <t>Relevés floristiques aquatiques - IBMR</t>
  </si>
  <si>
    <t>Formulaire modèle GIS Macrophytes v_2.6 - février 2012</t>
  </si>
  <si>
    <t>SAGE</t>
  </si>
  <si>
    <t>CBERNARD LISEBE</t>
  </si>
  <si>
    <t>conforme AFNOR T90-395 oct. 2003</t>
  </si>
  <si>
    <t>DURLANDE</t>
  </si>
  <si>
    <t>DURLANDE A SAINT ETIENNE DU BOIS</t>
  </si>
  <si>
    <t>06320220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</si>
  <si>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</si>
  <si>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</si>
  <si>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</si>
  <si>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</si>
  <si>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</si>
  <si>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</si>
  <si>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</si>
  <si>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</si>
  <si>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</si>
  <si>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</si>
  <si>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</si>
  <si>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</si>
  <si>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fort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</si>
  <si>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</si>
  <si>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</si>
  <si>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</si>
  <si>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</si>
  <si>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</si>
  <si>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</si>
  <si>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</si>
  <si>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</si>
  <si>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</si>
  <si>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</si>
  <si>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</si>
  <si>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</si>
  <si>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</si>
  <si>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</si>
  <si>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</si>
  <si>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</si>
  <si>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</si>
  <si>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</si>
  <si>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</si>
  <si>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</si>
  <si>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</si>
  <si>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</si>
  <si>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</si>
  <si>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</si>
  <si>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</si>
  <si>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</si>
  <si>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</si>
  <si>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</si>
  <si>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</si>
  <si>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</si>
  <si>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</si>
  <si>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</si>
  <si>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</si>
  <si>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</si>
  <si>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</si>
  <si>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</si>
  <si>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</si>
  <si>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</si>
  <si>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</si>
  <si>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</si>
  <si>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</si>
  <si>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</si>
  <si>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</si>
  <si>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</si>
  <si>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</si>
  <si>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</si>
  <si>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</si>
  <si>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</si>
  <si>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</si>
  <si>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</si>
  <si>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</si>
  <si>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</si>
  <si>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</si>
  <si>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</si>
  <si>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</si>
  <si>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</si>
  <si>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MICSPX</t>
  </si>
  <si>
    <t>OEDSPX</t>
  </si>
  <si>
    <t>TRISPX</t>
  </si>
  <si>
    <t>VAUSPX</t>
  </si>
  <si>
    <t>CHIPOL</t>
  </si>
  <si>
    <t>AMBRIP</t>
  </si>
  <si>
    <t>FONANT</t>
  </si>
  <si>
    <t>CALBRU</t>
  </si>
  <si>
    <t>CALHAM</t>
  </si>
  <si>
    <t>SPASPX</t>
  </si>
  <si>
    <t>ALIPLA</t>
  </si>
  <si>
    <t>CARSPX</t>
  </si>
  <si>
    <t>GLYFLU</t>
  </si>
  <si>
    <t>IRIPSE</t>
  </si>
  <si>
    <t>JUNEFF</t>
  </si>
  <si>
    <t>LYCEUR</t>
  </si>
  <si>
    <t>RANFLF</t>
  </si>
  <si>
    <t>GALSPX</t>
  </si>
  <si>
    <t>URTDIO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</si>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</sst>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36" borderId="32" xfId="0" applyNumberFormat="1" applyFont="1" applyFill="1" applyBorder="1" applyAlignment="1" applyProtection="1">
      <alignment horizontal="right" vertical="top"/>
      <protection hidden="1"/>
    </xf>
    <xf numFmtId="2" fontId="12" fillId="36" borderId="33" xfId="0" applyNumberFormat="1" applyFont="1" applyFill="1" applyBorder="1" applyAlignment="1" applyProtection="1">
      <alignment horizontal="left" vertical="top"/>
      <protection hidden="1"/>
    </xf>
    <xf numFmtId="2" fontId="13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1" borderId="46" xfId="0" applyNumberFormat="1" applyFont="1" applyFill="1" applyBorder="1" applyAlignment="1" applyProtection="1">
      <alignment horizontal="center"/>
      <protection locked="0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1" borderId="50" xfId="0" applyNumberFormat="1" applyFont="1" applyFill="1" applyBorder="1" applyAlignment="1" applyProtection="1">
      <alignment horizontal="center"/>
      <protection locked="0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1" borderId="56" xfId="0" applyNumberFormat="1" applyFont="1" applyFill="1" applyBorder="1" applyAlignment="1" applyProtection="1">
      <alignment horizontal="center"/>
      <protection locked="0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1" borderId="60" xfId="0" applyNumberFormat="1" applyFont="1" applyFill="1" applyBorder="1" applyAlignment="1" applyProtection="1">
      <alignment horizontal="center"/>
      <protection locked="0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6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DURLA_25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  <sheetName val="Feuil1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W47" sqref="W47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41085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9.048780487804878</v>
      </c>
      <c r="M5" s="52"/>
      <c r="N5" s="53"/>
      <c r="O5" s="54">
        <v>8.916666666666666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5</v>
      </c>
      <c r="C7" s="65">
        <v>95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9.833333333333334</v>
      </c>
      <c r="O8" s="80">
        <f>AVERAGE(J23:J82)</f>
        <v>1.5833333333333333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75</v>
      </c>
      <c r="C9" s="83">
        <v>80</v>
      </c>
      <c r="D9" s="84"/>
      <c r="E9" s="84"/>
      <c r="F9" s="85">
        <f aca="true" t="shared" si="0" ref="F9:F15">($B9*$B$7+$C9*$C$7)/100</f>
        <v>79.75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3.4597249846912654</v>
      </c>
      <c r="O9" s="80">
        <f>STDEV(J23:J82)</f>
        <v>0.5149286505444374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15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5</v>
      </c>
      <c r="C12" s="114">
        <v>25</v>
      </c>
      <c r="D12" s="107"/>
      <c r="E12" s="107"/>
      <c r="F12" s="108">
        <f t="shared" si="0"/>
        <v>24</v>
      </c>
      <c r="G12" s="115"/>
      <c r="H12" s="66"/>
      <c r="I12" s="268" t="s">
        <v>37</v>
      </c>
      <c r="J12" s="259"/>
      <c r="K12" s="110">
        <f>COUNTIF($G$23:$G$82,"=ALG")</f>
        <v>4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70</v>
      </c>
      <c r="C13" s="114">
        <v>65</v>
      </c>
      <c r="D13" s="107"/>
      <c r="E13" s="107"/>
      <c r="F13" s="108">
        <f t="shared" si="0"/>
        <v>65.25</v>
      </c>
      <c r="G13" s="115"/>
      <c r="H13" s="66"/>
      <c r="I13" s="258" t="s">
        <v>39</v>
      </c>
      <c r="J13" s="259"/>
      <c r="K13" s="110">
        <f>COUNTIF($G$23:$G$82,"=BRm")+COUNTIF($G$23:$G$82,"=BRh")</f>
        <v>3</v>
      </c>
      <c r="L13" s="111"/>
      <c r="M13" s="121" t="s">
        <v>40</v>
      </c>
      <c r="N13" s="122">
        <f>COUNTIF(F23:F82,"&gt;0")</f>
        <v>19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12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>
        <v>2.18</v>
      </c>
      <c r="D15" s="107"/>
      <c r="E15" s="107"/>
      <c r="F15" s="108">
        <f t="shared" si="0"/>
        <v>2.071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12</v>
      </c>
      <c r="L15" s="111"/>
      <c r="M15" s="131" t="s">
        <v>46</v>
      </c>
      <c r="N15" s="132">
        <f>COUNTIF(J23:J82,"=1")</f>
        <v>5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>
        <v>0.1</v>
      </c>
      <c r="D16" s="134"/>
      <c r="E16" s="134"/>
      <c r="F16" s="135"/>
      <c r="G16" s="135">
        <f>($B16*$B$7+$C16*$C$7)/100</f>
        <v>0.095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7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75</v>
      </c>
      <c r="C17" s="114">
        <v>90.01</v>
      </c>
      <c r="D17" s="107"/>
      <c r="E17" s="107"/>
      <c r="F17" s="138"/>
      <c r="G17" s="108">
        <f>($B17*$B$7+$C17*$C$7)/100</f>
        <v>89.2595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0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>
        <v>2.07</v>
      </c>
      <c r="D18" s="107"/>
      <c r="E18" s="143" t="s">
        <v>52</v>
      </c>
      <c r="F18" s="138"/>
      <c r="G18" s="108">
        <f>($B18*$B$7+$C18*$C$7)/100</f>
        <v>1.9664999999999997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53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91.321</v>
      </c>
      <c r="G19" s="152">
        <f>SUM(G16:G18)</f>
        <v>91.321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53</v>
      </c>
      <c r="W19" s="146" t="s">
        <v>53</v>
      </c>
    </row>
    <row r="20" spans="1:23" ht="12.75">
      <c r="A20" s="160" t="s">
        <v>54</v>
      </c>
      <c r="B20" s="161">
        <f>SUM(B23:B82)</f>
        <v>76.91</v>
      </c>
      <c r="C20" s="162">
        <f>SUM(C23:C82)</f>
        <v>92.19000000000004</v>
      </c>
      <c r="D20" s="163"/>
      <c r="E20" s="164" t="s">
        <v>52</v>
      </c>
      <c r="F20" s="165">
        <f>($B20*$B$7+$C20*$C$7)/100</f>
        <v>91.42600000000004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55</v>
      </c>
      <c r="R20" s="8"/>
      <c r="S20" s="8"/>
      <c r="T20" s="8"/>
      <c r="U20" s="8"/>
      <c r="V20" s="8" t="s">
        <v>53</v>
      </c>
      <c r="W20" s="146" t="s">
        <v>53</v>
      </c>
    </row>
    <row r="21" spans="1:23" ht="12.75">
      <c r="A21" s="174" t="s">
        <v>56</v>
      </c>
      <c r="B21" s="175">
        <f>B20*B7/100</f>
        <v>3.8454999999999995</v>
      </c>
      <c r="C21" s="175">
        <f>C20*C7/100</f>
        <v>87.58050000000004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91.42600000000004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57</v>
      </c>
      <c r="R21" s="8"/>
      <c r="S21" s="8"/>
      <c r="T21" s="8"/>
      <c r="U21" s="8"/>
      <c r="V21" s="8" t="s">
        <v>53</v>
      </c>
      <c r="W21" s="146" t="s">
        <v>53</v>
      </c>
    </row>
    <row r="22" spans="1:29" ht="12.75">
      <c r="A22" s="185" t="s">
        <v>58</v>
      </c>
      <c r="B22" s="186" t="s">
        <v>59</v>
      </c>
      <c r="C22" s="187" t="s">
        <v>59</v>
      </c>
      <c r="D22" s="134"/>
      <c r="E22" s="134"/>
      <c r="F22" s="188" t="s">
        <v>60</v>
      </c>
      <c r="G22" s="189" t="s">
        <v>61</v>
      </c>
      <c r="H22" s="134"/>
      <c r="I22" s="190" t="s">
        <v>62</v>
      </c>
      <c r="J22" s="190" t="s">
        <v>63</v>
      </c>
      <c r="K22" s="260" t="s">
        <v>64</v>
      </c>
      <c r="L22" s="260"/>
      <c r="M22" s="260"/>
      <c r="N22" s="260"/>
      <c r="O22" s="261"/>
      <c r="P22" s="191" t="s">
        <v>65</v>
      </c>
      <c r="Q22" s="192" t="s">
        <v>66</v>
      </c>
      <c r="R22" s="193" t="s">
        <v>67</v>
      </c>
      <c r="S22" s="194" t="s">
        <v>68</v>
      </c>
      <c r="T22" s="195" t="s">
        <v>69</v>
      </c>
      <c r="U22" s="196" t="s">
        <v>70</v>
      </c>
      <c r="V22" s="194" t="s">
        <v>71</v>
      </c>
      <c r="Y22" s="8" t="s">
        <v>72</v>
      </c>
      <c r="Z22" s="8" t="s">
        <v>73</v>
      </c>
      <c r="AA22" s="197" t="s">
        <v>74</v>
      </c>
      <c r="AB22" s="197" t="s">
        <v>75</v>
      </c>
      <c r="AC22" s="198" t="s">
        <v>76</v>
      </c>
    </row>
    <row r="23" spans="1:55" ht="12.75">
      <c r="A23" s="199" t="s">
        <v>77</v>
      </c>
      <c r="B23" s="200">
        <v>0.5</v>
      </c>
      <c r="C23" s="201"/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Microspora sp.</v>
      </c>
      <c r="E23" s="202" t="e">
        <f>IF(D23="",,VLOOKUP(D23,D$22:D22,1,0))</f>
        <v>#N/A</v>
      </c>
      <c r="F23" s="203">
        <f aca="true" t="shared" si="1" ref="F23:F82">($B23*$B$7+$C23*$C$7)/100</f>
        <v>0.025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12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2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Microspora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1132</v>
      </c>
      <c r="Q23" s="211">
        <f aca="true" t="shared" si="3" ref="Q23:Q82">IF(ISTEXT(H23),"",(B23*$B$7/100)+(C23*$C$7/100))</f>
        <v>0.025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12</v>
      </c>
      <c r="T23" s="212">
        <f aca="true" t="shared" si="6" ref="T23:T82">IF(ISERROR(R23*I23*J23),0,R23*I23*J23)</f>
        <v>24</v>
      </c>
      <c r="U23" s="212">
        <f aca="true" t="shared" si="7" ref="U23:U82">IF(ISERROR(R23*J23),0,R23*J23)</f>
        <v>2</v>
      </c>
      <c r="V23" s="213">
        <v>2</v>
      </c>
      <c r="W23" s="214" t="s">
        <v>53</v>
      </c>
      <c r="X23" s="214"/>
      <c r="Y23" s="215" t="str">
        <f>IF(A23="new.cod","NEWCOD",IF(AND((Z23=""),ISTEXT(A23)),A23,IF(Z23="","",INDEX('[1]liste reference'!$A$7:$A$892,Z23))))</f>
        <v>MICSPX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466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78</v>
      </c>
      <c r="B24" s="219">
        <v>0.5</v>
      </c>
      <c r="C24" s="220">
        <v>16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Oedogonium sp.</v>
      </c>
      <c r="E24" s="221" t="e">
        <f>IF(D24="",,VLOOKUP(D24,D$22:D23,1,0))</f>
        <v>#N/A</v>
      </c>
      <c r="F24" s="222">
        <f t="shared" si="1"/>
        <v>15.225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6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Oedogonium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1">
        <f t="shared" si="3"/>
        <v>15.225</v>
      </c>
      <c r="R24" s="212">
        <f t="shared" si="4"/>
        <v>4</v>
      </c>
      <c r="S24" s="212">
        <f t="shared" si="5"/>
        <v>24</v>
      </c>
      <c r="T24" s="212">
        <f t="shared" si="6"/>
        <v>48</v>
      </c>
      <c r="U24" s="226">
        <f t="shared" si="7"/>
        <v>8</v>
      </c>
      <c r="V24" s="213">
        <v>8</v>
      </c>
      <c r="W24" s="227" t="s">
        <v>53</v>
      </c>
      <c r="Y24" s="215" t="str">
        <f>IF(A24="new.cod","NEWCOD",IF(AND((Z24=""),ISTEXT(A24)),A24,IF(Z24="","",INDEX('[1]liste reference'!$A$7:$A$892,Z24))))</f>
        <v>OEDSPX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542</v>
      </c>
      <c r="AA24" s="216"/>
      <c r="AB24" s="217"/>
      <c r="AC24" s="217"/>
      <c r="BC24" s="8">
        <f t="shared" si="8"/>
        <v>1</v>
      </c>
    </row>
    <row r="25" spans="1:55" ht="12.75">
      <c r="A25" s="218" t="s">
        <v>79</v>
      </c>
      <c r="B25" s="219">
        <v>4.9</v>
      </c>
      <c r="C25" s="220"/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Tribonema sp.</v>
      </c>
      <c r="E25" s="221" t="e">
        <f>IF(D25="",,VLOOKUP(D25,D$22:D24,1,0))</f>
        <v>#N/A</v>
      </c>
      <c r="F25" s="222">
        <f t="shared" si="1"/>
        <v>0.245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11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Tribonema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1167</v>
      </c>
      <c r="Q25" s="211">
        <f t="shared" si="3"/>
        <v>0.245</v>
      </c>
      <c r="R25" s="212">
        <f t="shared" si="4"/>
        <v>2</v>
      </c>
      <c r="S25" s="212">
        <f t="shared" si="5"/>
        <v>22</v>
      </c>
      <c r="T25" s="212">
        <f t="shared" si="6"/>
        <v>44</v>
      </c>
      <c r="U25" s="226">
        <f t="shared" si="7"/>
        <v>4</v>
      </c>
      <c r="V25" s="213">
        <v>4</v>
      </c>
      <c r="W25" s="214" t="s">
        <v>53</v>
      </c>
      <c r="Y25" s="215" t="str">
        <f>IF(A25="new.cod","NEWCOD",IF(AND((Z25=""),ISTEXT(A25)),A25,IF(Z25="","",INDEX('[1]liste reference'!$A$7:$A$892,Z25))))</f>
        <v>TRISPX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843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80</v>
      </c>
      <c r="B26" s="219"/>
      <c r="C26" s="220">
        <v>9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Vaucheria sp.</v>
      </c>
      <c r="E26" s="221" t="e">
        <f>IF(D26="",,VLOOKUP(D26,D$22:D25,1,0))</f>
        <v>#N/A</v>
      </c>
      <c r="F26" s="222">
        <f t="shared" si="1"/>
        <v>8.55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4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1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Vaucheria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11">
        <f t="shared" si="3"/>
        <v>8.55</v>
      </c>
      <c r="R26" s="212">
        <f t="shared" si="4"/>
        <v>3</v>
      </c>
      <c r="S26" s="212">
        <f t="shared" si="5"/>
        <v>12</v>
      </c>
      <c r="T26" s="212">
        <f t="shared" si="6"/>
        <v>12</v>
      </c>
      <c r="U26" s="226">
        <f t="shared" si="7"/>
        <v>3</v>
      </c>
      <c r="V26" s="213">
        <v>3</v>
      </c>
      <c r="W26" s="214" t="s">
        <v>53</v>
      </c>
      <c r="Y26" s="215" t="str">
        <f>IF(A26="new.cod","NEWCOD",IF(AND((Z26=""),ISTEXT(A26)),A26,IF(Z26="","",INDEX('[1]liste reference'!$A$7:$A$892,Z26))))</f>
        <v>VAUSPX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864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81</v>
      </c>
      <c r="B27" s="219">
        <v>0.01</v>
      </c>
      <c r="C27" s="220">
        <v>0.01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Chiloscyphus polyanthos var. polyanthos</v>
      </c>
      <c r="E27" s="221" t="e">
        <f>IF(D27="",,VLOOKUP(D27,D$22:D26,1,0))</f>
        <v>#N/A</v>
      </c>
      <c r="F27" s="222">
        <f t="shared" si="1"/>
        <v>0.01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BRh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4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15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Chiloscyphus polyanthos var. polyanthos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1186</v>
      </c>
      <c r="Q27" s="211">
        <f t="shared" si="3"/>
        <v>0.010000000000000002</v>
      </c>
      <c r="R27" s="212">
        <f t="shared" si="4"/>
        <v>1</v>
      </c>
      <c r="S27" s="212">
        <f t="shared" si="5"/>
        <v>15</v>
      </c>
      <c r="T27" s="212">
        <f t="shared" si="6"/>
        <v>30</v>
      </c>
      <c r="U27" s="226">
        <f t="shared" si="7"/>
        <v>2</v>
      </c>
      <c r="V27" s="213">
        <v>2</v>
      </c>
      <c r="W27" s="214" t="s">
        <v>53</v>
      </c>
      <c r="Y27" s="215" t="str">
        <f>IF(A27="new.cod","NEWCOD",IF(AND((Z27=""),ISTEXT(A27)),A27,IF(Z27="","",INDEX('[1]liste reference'!$A$7:$A$892,Z27))))</f>
        <v>CHIPOL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166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82</v>
      </c>
      <c r="B28" s="219"/>
      <c r="C28" s="220">
        <v>5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Amblystegium riparium</v>
      </c>
      <c r="E28" s="221" t="e">
        <f>IF(D28="",,VLOOKUP(D28,D$22:D27,1,0))</f>
        <v>#N/A</v>
      </c>
      <c r="F28" s="222">
        <f t="shared" si="1"/>
        <v>4.75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BRm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5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5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2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Amblystegium riparium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1219</v>
      </c>
      <c r="Q28" s="211">
        <f t="shared" si="3"/>
        <v>4.75</v>
      </c>
      <c r="R28" s="212">
        <f t="shared" si="4"/>
        <v>3</v>
      </c>
      <c r="S28" s="212">
        <f t="shared" si="5"/>
        <v>15</v>
      </c>
      <c r="T28" s="212">
        <f t="shared" si="6"/>
        <v>30</v>
      </c>
      <c r="U28" s="226">
        <f t="shared" si="7"/>
        <v>6</v>
      </c>
      <c r="V28" s="213">
        <v>6</v>
      </c>
      <c r="W28" s="214" t="s">
        <v>53</v>
      </c>
      <c r="Y28" s="215" t="str">
        <f>IF(A28="new.cod","NEWCOD",IF(AND((Z28=""),ISTEXT(A28)),A28,IF(Z28="","",INDEX('[1]liste reference'!$A$7:$A$892,Z28))))</f>
        <v>AMBRIP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24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83</v>
      </c>
      <c r="B29" s="219">
        <v>70</v>
      </c>
      <c r="C29" s="220">
        <v>60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Fontinalis antipyretica</v>
      </c>
      <c r="E29" s="221" t="e">
        <f>IF(D29="",,VLOOKUP(D29,D$22:D28,1,0))</f>
        <v>#N/A</v>
      </c>
      <c r="F29" s="222">
        <f t="shared" si="1"/>
        <v>60.5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10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1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Fontinalis antipyretica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</v>
      </c>
      <c r="Q29" s="211">
        <f t="shared" si="3"/>
        <v>60.5</v>
      </c>
      <c r="R29" s="212">
        <f t="shared" si="4"/>
        <v>5</v>
      </c>
      <c r="S29" s="212">
        <f t="shared" si="5"/>
        <v>50</v>
      </c>
      <c r="T29" s="212">
        <f t="shared" si="6"/>
        <v>50</v>
      </c>
      <c r="U29" s="226">
        <f t="shared" si="7"/>
        <v>5</v>
      </c>
      <c r="V29" s="213">
        <v>5</v>
      </c>
      <c r="W29" s="214" t="s">
        <v>53</v>
      </c>
      <c r="Y29" s="215" t="str">
        <f>IF(A29="new.cod","NEWCOD",IF(AND((Z29=""),ISTEXT(A29)),A29,IF(Z29="","",INDEX('[1]liste reference'!$A$7:$A$892,Z29))))</f>
        <v>FONANT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304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84</v>
      </c>
      <c r="B30" s="219">
        <v>0.9</v>
      </c>
      <c r="C30" s="220"/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Callitriche brutia</v>
      </c>
      <c r="E30" s="221" t="e">
        <f>IF(D30="",,VLOOKUP(D30,D$22:D29,1,0))</f>
        <v>#N/A</v>
      </c>
      <c r="F30" s="222">
        <f t="shared" si="1"/>
        <v>0.045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PHy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7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Callitriche brutia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1697</v>
      </c>
      <c r="Q30" s="211">
        <f t="shared" si="3"/>
        <v>0.045</v>
      </c>
      <c r="R30" s="212">
        <f t="shared" si="4"/>
        <v>1</v>
      </c>
      <c r="S30" s="212">
        <f t="shared" si="5"/>
        <v>0</v>
      </c>
      <c r="T30" s="212">
        <f t="shared" si="6"/>
        <v>0</v>
      </c>
      <c r="U30" s="226">
        <f t="shared" si="7"/>
        <v>0</v>
      </c>
      <c r="V30" s="213">
        <v>0</v>
      </c>
      <c r="W30" s="214" t="s">
        <v>53</v>
      </c>
      <c r="Y30" s="215" t="str">
        <f>IF(A30="new.cod","NEWCOD",IF(AND((Z30=""),ISTEXT(A30)),A30,IF(Z30="","",INDEX('[1]liste reference'!$A$7:$A$892,Z30))))</f>
        <v>CALBRU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92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85</v>
      </c>
      <c r="B31" s="219">
        <v>0.1</v>
      </c>
      <c r="C31" s="220"/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Callitriche hamulata</v>
      </c>
      <c r="E31" s="221" t="e">
        <f>IF(D31="",,VLOOKUP(D31,D$22:D30,1,0))</f>
        <v>#N/A</v>
      </c>
      <c r="F31" s="222">
        <f t="shared" si="1"/>
        <v>0.005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PHy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7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12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1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Callitriche hamulata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1698</v>
      </c>
      <c r="Q31" s="211">
        <f t="shared" si="3"/>
        <v>0.005</v>
      </c>
      <c r="R31" s="212">
        <f t="shared" si="4"/>
        <v>1</v>
      </c>
      <c r="S31" s="212">
        <f t="shared" si="5"/>
        <v>12</v>
      </c>
      <c r="T31" s="212">
        <f t="shared" si="6"/>
        <v>12</v>
      </c>
      <c r="U31" s="226">
        <f t="shared" si="7"/>
        <v>1</v>
      </c>
      <c r="V31" s="213">
        <v>1</v>
      </c>
      <c r="W31" s="214" t="s">
        <v>53</v>
      </c>
      <c r="Y31" s="215" t="str">
        <f>IF(A31="new.cod","NEWCOD",IF(AND((Z31=""),ISTEXT(A31)),A31,IF(Z31="","",INDEX('[1]liste reference'!$A$7:$A$892,Z31))))</f>
        <v>CALHAM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96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86</v>
      </c>
      <c r="B32" s="219"/>
      <c r="C32" s="220">
        <v>0.01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Sparganium sp.</v>
      </c>
      <c r="E32" s="221" t="e">
        <f>IF(D32="",,VLOOKUP(D32,D$22:D31,1,0))</f>
        <v>#N/A</v>
      </c>
      <c r="F32" s="222">
        <f t="shared" si="1"/>
        <v>0.009500000000000001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PHy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7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Sparganium sp.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1668</v>
      </c>
      <c r="Q32" s="211">
        <f t="shared" si="3"/>
        <v>0.009500000000000001</v>
      </c>
      <c r="R32" s="212">
        <f t="shared" si="4"/>
        <v>1</v>
      </c>
      <c r="S32" s="212">
        <f t="shared" si="5"/>
        <v>0</v>
      </c>
      <c r="T32" s="212">
        <f t="shared" si="6"/>
        <v>0</v>
      </c>
      <c r="U32" s="226">
        <f t="shared" si="7"/>
        <v>0</v>
      </c>
      <c r="V32" s="213">
        <v>0</v>
      </c>
      <c r="W32" s="214" t="s">
        <v>53</v>
      </c>
      <c r="Y32" s="215" t="str">
        <f>IF(A32="new.cod","NEWCOD",IF(AND((Z32=""),ISTEXT(A32)),A32,IF(Z32="","",INDEX('[1]liste reference'!$A$7:$A$892,Z32))))</f>
        <v>SPASPX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803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87</v>
      </c>
      <c r="B33" s="219"/>
      <c r="C33" s="220">
        <v>0.1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Alisma plantago-aquatica</v>
      </c>
      <c r="E33" s="221" t="e">
        <f>IF(D33="",,VLOOKUP(D33,D$22:D32,1,0))</f>
        <v>#N/A</v>
      </c>
      <c r="F33" s="222">
        <f t="shared" si="1"/>
        <v>0.095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PHe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8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8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2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Alisma plantago-aquatica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1447</v>
      </c>
      <c r="Q33" s="211">
        <f t="shared" si="3"/>
        <v>0.095</v>
      </c>
      <c r="R33" s="212">
        <f t="shared" si="4"/>
        <v>1</v>
      </c>
      <c r="S33" s="212">
        <f t="shared" si="5"/>
        <v>8</v>
      </c>
      <c r="T33" s="212">
        <f t="shared" si="6"/>
        <v>16</v>
      </c>
      <c r="U33" s="226">
        <f t="shared" si="7"/>
        <v>2</v>
      </c>
      <c r="V33" s="213">
        <v>2</v>
      </c>
      <c r="W33" s="214" t="s">
        <v>53</v>
      </c>
      <c r="Y33" s="215" t="str">
        <f>IF(A33="new.cod","NEWCOD",IF(AND((Z33=""),ISTEXT(A33)),A33,IF(Z33="","",INDEX('[1]liste reference'!$A$7:$A$892,Z33))))</f>
        <v>ALIPLA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13</v>
      </c>
      <c r="AA33" s="216"/>
      <c r="AB33" s="217"/>
      <c r="AC33" s="217"/>
      <c r="BC33" s="8">
        <f t="shared" si="8"/>
        <v>1</v>
      </c>
    </row>
    <row r="34" spans="1:55" ht="12.75">
      <c r="A34" s="218" t="s">
        <v>88</v>
      </c>
      <c r="B34" s="219"/>
      <c r="C34" s="220">
        <v>0.01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Carex sp.</v>
      </c>
      <c r="E34" s="221" t="e">
        <f>IF(D34="",,VLOOKUP(D34,D$22:D33,1,0))</f>
        <v>#N/A</v>
      </c>
      <c r="F34" s="228">
        <f t="shared" si="1"/>
        <v>0.009500000000000001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PHe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8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Carex sp.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1466</v>
      </c>
      <c r="Q34" s="211">
        <f t="shared" si="3"/>
        <v>0.009500000000000001</v>
      </c>
      <c r="R34" s="212">
        <f t="shared" si="4"/>
        <v>1</v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53</v>
      </c>
      <c r="Y34" s="215" t="str">
        <f>IF(A34="new.cod","NEWCOD",IF(AND((Z34=""),ISTEXT(A34)),A34,IF(Z34="","",INDEX('[1]liste reference'!$A$7:$A$892,Z34))))</f>
        <v>CARSPX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135</v>
      </c>
      <c r="AA34" s="216"/>
      <c r="AB34" s="217"/>
      <c r="AC34" s="217"/>
      <c r="BC34" s="8">
        <f t="shared" si="8"/>
        <v>1</v>
      </c>
    </row>
    <row r="35" spans="1:55" ht="12.75">
      <c r="A35" s="218" t="s">
        <v>89</v>
      </c>
      <c r="B35" s="219"/>
      <c r="C35" s="220">
        <v>2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Glyceria fluitans</v>
      </c>
      <c r="E35" s="221" t="e">
        <f>IF(D35="",,VLOOKUP(D35,D$22:D34,1,0))</f>
        <v>#N/A</v>
      </c>
      <c r="F35" s="228">
        <f t="shared" si="1"/>
        <v>1.9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PHe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8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14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2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Glyceria fluitans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1564</v>
      </c>
      <c r="Q35" s="211">
        <f t="shared" si="3"/>
        <v>1.9</v>
      </c>
      <c r="R35" s="212">
        <f t="shared" si="4"/>
        <v>3</v>
      </c>
      <c r="S35" s="212">
        <f t="shared" si="5"/>
        <v>42</v>
      </c>
      <c r="T35" s="212">
        <f t="shared" si="6"/>
        <v>84</v>
      </c>
      <c r="U35" s="226">
        <f t="shared" si="7"/>
        <v>6</v>
      </c>
      <c r="V35" s="213">
        <v>6</v>
      </c>
      <c r="W35" s="214" t="s">
        <v>53</v>
      </c>
      <c r="Y35" s="215" t="str">
        <f>IF(A35="new.cod","NEWCOD",IF(AND((Z35=""),ISTEXT(A35)),A35,IF(Z35="","",INDEX('[1]liste reference'!$A$7:$A$892,Z35))))</f>
        <v>GLYFLU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320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90</v>
      </c>
      <c r="B36" s="219"/>
      <c r="C36" s="220">
        <v>0.01</v>
      </c>
      <c r="D36" s="221" t="str">
        <f>IF(ISERROR(VLOOKUP($A36,'[1]liste reference'!$A$7:$D$892,2,0)),IF(ISERROR(VLOOKUP($A36,'[1]liste reference'!$B$7:$D$892,1,0)),"",VLOOKUP($A36,'[1]liste reference'!$B$7:$D$892,1,0)),VLOOKUP($A36,'[1]liste reference'!$A$7:$D$892,2,0))</f>
        <v>Iris pseudacorus</v>
      </c>
      <c r="E36" s="221" t="e">
        <f>IF(D36="",,VLOOKUP(D36,D$22:D35,1,0))</f>
        <v>#N/A</v>
      </c>
      <c r="F36" s="228">
        <f t="shared" si="1"/>
        <v>0.009500000000000001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PHe</v>
      </c>
      <c r="H36" s="205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8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  <v>10</v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  <v>1</v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Iris pseudacorus</v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161</v>
      </c>
      <c r="Q36" s="211">
        <f t="shared" si="3"/>
        <v>0.009500000000000001</v>
      </c>
      <c r="R36" s="212">
        <f t="shared" si="4"/>
        <v>1</v>
      </c>
      <c r="S36" s="212">
        <f t="shared" si="5"/>
        <v>10</v>
      </c>
      <c r="T36" s="212">
        <f t="shared" si="6"/>
        <v>10</v>
      </c>
      <c r="U36" s="226">
        <f t="shared" si="7"/>
        <v>1</v>
      </c>
      <c r="V36" s="213">
        <v>1</v>
      </c>
      <c r="W36" s="214" t="s">
        <v>53</v>
      </c>
      <c r="Y36" s="215" t="str">
        <f>IF(A36="new.cod","NEWCOD",IF(AND((Z36=""),ISTEXT(A36)),A36,IF(Z36="","",INDEX('[1]liste reference'!$A$7:$A$892,Z36))))</f>
        <v>IRIPSE</v>
      </c>
      <c r="Z36" s="8">
        <f>IF(ISERROR(MATCH(A36,'[1]liste reference'!$A$7:$A$892,0)),IF(ISERROR(MATCH(A36,'[1]liste reference'!$B$7:$B$892,0)),"",(MATCH(A36,'[1]liste reference'!$B$7:$B$892,0))),(MATCH(A36,'[1]liste reference'!$A$7:$A$892,0)))</f>
        <v>361</v>
      </c>
      <c r="AA36" s="216"/>
      <c r="AB36" s="217"/>
      <c r="AC36" s="217"/>
      <c r="BC36" s="8">
        <f t="shared" si="8"/>
        <v>1</v>
      </c>
    </row>
    <row r="37" spans="1:55" ht="12.75">
      <c r="A37" s="218" t="s">
        <v>91</v>
      </c>
      <c r="B37" s="219"/>
      <c r="C37" s="220">
        <v>0.01</v>
      </c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Juncus effusus</v>
      </c>
      <c r="E37" s="221" t="e">
        <f>IF(D37="",,VLOOKUP(D37,D$22:D36,1,0))</f>
        <v>#N/A</v>
      </c>
      <c r="F37" s="228">
        <f t="shared" si="1"/>
        <v>0.009500000000000001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PHe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8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Juncus effusus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1613</v>
      </c>
      <c r="Q37" s="211">
        <f t="shared" si="3"/>
        <v>0.009500000000000001</v>
      </c>
      <c r="R37" s="212">
        <f t="shared" si="4"/>
        <v>1</v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53</v>
      </c>
      <c r="Y37" s="215" t="str">
        <f>IF(A37="new.cod","NEWCOD",IF(AND((Z37=""),ISTEXT(A37)),A37,IF(Z37="","",INDEX('[1]liste reference'!$A$7:$A$892,Z37))))</f>
        <v>JUNEFF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397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92</v>
      </c>
      <c r="B38" s="219"/>
      <c r="C38" s="220">
        <v>0.01</v>
      </c>
      <c r="D38" s="221" t="str">
        <f>IF(ISERROR(VLOOKUP($A38,'[1]liste reference'!$A$7:$D$892,2,0)),IF(ISERROR(VLOOKUP($A38,'[1]liste reference'!$B$7:$D$892,1,0)),"",VLOOKUP($A38,'[1]liste reference'!$B$7:$D$892,1,0)),VLOOKUP($A38,'[1]liste reference'!$A$7:$D$892,2,0))</f>
        <v>Lycopus europaeus</v>
      </c>
      <c r="E38" s="221" t="e">
        <f>IF(D38="",,VLOOKUP(D38,D$22:D37,1,0))</f>
        <v>#N/A</v>
      </c>
      <c r="F38" s="228">
        <f t="shared" si="1"/>
        <v>0.009500000000000001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PHe</v>
      </c>
      <c r="H38" s="205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8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  <v>11</v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  <v>1</v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Lycopus europaeus</v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1789</v>
      </c>
      <c r="Q38" s="211">
        <f t="shared" si="3"/>
        <v>0.009500000000000001</v>
      </c>
      <c r="R38" s="212">
        <f t="shared" si="4"/>
        <v>1</v>
      </c>
      <c r="S38" s="212">
        <f t="shared" si="5"/>
        <v>11</v>
      </c>
      <c r="T38" s="212">
        <f t="shared" si="6"/>
        <v>11</v>
      </c>
      <c r="U38" s="226">
        <f t="shared" si="7"/>
        <v>1</v>
      </c>
      <c r="V38" s="213">
        <v>1</v>
      </c>
      <c r="W38" s="214" t="s">
        <v>53</v>
      </c>
      <c r="Y38" s="215" t="str">
        <f>IF(A38="new.cod","NEWCOD",IF(AND((Z38=""),ISTEXT(A38)),A38,IF(Z38="","",INDEX('[1]liste reference'!$A$7:$A$892,Z38))))</f>
        <v>LYCEUR</v>
      </c>
      <c r="Z38" s="8">
        <f>IF(ISERROR(MATCH(A38,'[1]liste reference'!$A$7:$A$892,0)),IF(ISERROR(MATCH(A38,'[1]liste reference'!$B$7:$B$892,0)),"",(MATCH(A38,'[1]liste reference'!$B$7:$B$892,0))),(MATCH(A38,'[1]liste reference'!$A$7:$A$892,0)))</f>
        <v>433</v>
      </c>
      <c r="AA38" s="216"/>
      <c r="AB38" s="217"/>
      <c r="AC38" s="217"/>
      <c r="BC38" s="8">
        <f t="shared" si="8"/>
        <v>1</v>
      </c>
    </row>
    <row r="39" spans="1:55" ht="12.75">
      <c r="A39" s="218" t="s">
        <v>93</v>
      </c>
      <c r="B39" s="219"/>
      <c r="C39" s="220">
        <v>0.01</v>
      </c>
      <c r="D39" s="221" t="str">
        <f>IF(ISERROR(VLOOKUP($A39,'[1]liste reference'!$A$7:$D$892,2,0)),IF(ISERROR(VLOOKUP($A39,'[1]liste reference'!$B$7:$D$892,1,0)),"",VLOOKUP($A39,'[1]liste reference'!$B$7:$D$892,1,0)),VLOOKUP($A39,'[1]liste reference'!$A$7:$D$892,2,0))</f>
        <v>Ranunculus flammula subsp. flammula</v>
      </c>
      <c r="E39" s="221" t="e">
        <f>IF(D39="",,VLOOKUP(D39,D$22:D38,1,0))</f>
        <v>#N/A</v>
      </c>
      <c r="F39" s="228">
        <f t="shared" si="1"/>
        <v>0.009500000000000001</v>
      </c>
      <c r="G39" s="223" t="str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  <v>PHe</v>
      </c>
      <c r="H39" s="205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8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 t="str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  <v>Ranunculus flammula subsp. flammula</v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19965</v>
      </c>
      <c r="Q39" s="211">
        <f t="shared" si="3"/>
        <v>0.009500000000000001</v>
      </c>
      <c r="R39" s="212">
        <f t="shared" si="4"/>
        <v>1</v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53</v>
      </c>
      <c r="Y39" s="215" t="str">
        <f>IF(A39="new.cod","NEWCOD",IF(AND((Z39=""),ISTEXT(A39)),A39,IF(Z39="","",INDEX('[1]liste reference'!$A$7:$A$892,Z39))))</f>
        <v>RANFLF</v>
      </c>
      <c r="Z39" s="8">
        <f>IF(ISERROR(MATCH(A39,'[1]liste reference'!$A$7:$A$892,0)),IF(ISERROR(MATCH(A39,'[1]liste reference'!$B$7:$B$892,0)),"",(MATCH(A39,'[1]liste reference'!$B$7:$B$892,0))),(MATCH(A39,'[1]liste reference'!$A$7:$A$892,0)))</f>
        <v>672</v>
      </c>
      <c r="AA39" s="216"/>
      <c r="AB39" s="217"/>
      <c r="AC39" s="217"/>
      <c r="BC39" s="8">
        <f t="shared" si="8"/>
        <v>1</v>
      </c>
    </row>
    <row r="40" spans="1:55" ht="12.75">
      <c r="A40" s="218" t="s">
        <v>94</v>
      </c>
      <c r="B40" s="219"/>
      <c r="C40" s="220">
        <v>0.01</v>
      </c>
      <c r="D40" s="221" t="str">
        <f>IF(ISERROR(VLOOKUP($A40,'[1]liste reference'!$A$7:$D$892,2,0)),IF(ISERROR(VLOOKUP($A40,'[1]liste reference'!$B$7:$D$892,1,0)),"",VLOOKUP($A40,'[1]liste reference'!$B$7:$D$892,1,0)),VLOOKUP($A40,'[1]liste reference'!$A$7:$D$892,2,0))</f>
        <v>Galium sp.</v>
      </c>
      <c r="E40" s="221" t="e">
        <f>IF(D40="",,VLOOKUP(D40,D$22:D39,1,0))</f>
        <v>#N/A</v>
      </c>
      <c r="F40" s="228">
        <f t="shared" si="1"/>
        <v>0.009500000000000001</v>
      </c>
      <c r="G40" s="223" t="str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  <v>PHg</v>
      </c>
      <c r="H40" s="205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9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 t="str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  <v>Galium sp.</v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1926</v>
      </c>
      <c r="Q40" s="211">
        <f t="shared" si="3"/>
        <v>0.009500000000000001</v>
      </c>
      <c r="R40" s="212">
        <f t="shared" si="4"/>
        <v>1</v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53</v>
      </c>
      <c r="Y40" s="215" t="str">
        <f>IF(A40="new.cod","NEWCOD",IF(AND((Z40=""),ISTEXT(A40)),A40,IF(Z40="","",INDEX('[1]liste reference'!$A$7:$A$892,Z40))))</f>
        <v>GALSPX</v>
      </c>
      <c r="Z40" s="8">
        <f>IF(ISERROR(MATCH(A40,'[1]liste reference'!$A$7:$A$892,0)),IF(ISERROR(MATCH(A40,'[1]liste reference'!$B$7:$B$892,0)),"",(MATCH(A40,'[1]liste reference'!$B$7:$B$892,0))),(MATCH(A40,'[1]liste reference'!$A$7:$A$892,0)))</f>
        <v>314</v>
      </c>
      <c r="AA40" s="216"/>
      <c r="AB40" s="217"/>
      <c r="AC40" s="217"/>
      <c r="BC40" s="8">
        <f t="shared" si="8"/>
        <v>1</v>
      </c>
    </row>
    <row r="41" spans="1:55" ht="12.75">
      <c r="A41" s="218" t="s">
        <v>95</v>
      </c>
      <c r="B41" s="219"/>
      <c r="C41" s="220">
        <v>0.01</v>
      </c>
      <c r="D41" s="221" t="str">
        <f>IF(ISERROR(VLOOKUP($A41,'[1]liste reference'!$A$7:$D$892,2,0)),IF(ISERROR(VLOOKUP($A41,'[1]liste reference'!$B$7:$D$892,1,0)),"",VLOOKUP($A41,'[1]liste reference'!$B$7:$D$892,1,0)),VLOOKUP($A41,'[1]liste reference'!$A$7:$D$892,2,0))</f>
        <v>Urtica dioica</v>
      </c>
      <c r="E41" s="221" t="e">
        <f>IF(D41="",,VLOOKUP(D41,D$22:D40,1,0))</f>
        <v>#N/A</v>
      </c>
      <c r="F41" s="228">
        <f t="shared" si="1"/>
        <v>0.009500000000000001</v>
      </c>
      <c r="G41" s="223" t="str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  <v>PHg</v>
      </c>
      <c r="H41" s="205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9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 t="str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  <v>Urtica dioica</v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2</v>
      </c>
      <c r="Q41" s="211">
        <f t="shared" si="3"/>
        <v>0.009500000000000001</v>
      </c>
      <c r="R41" s="212">
        <f t="shared" si="4"/>
        <v>1</v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53</v>
      </c>
      <c r="Y41" s="215" t="str">
        <f>IF(A41="new.cod","NEWCOD",IF(AND((Z41=""),ISTEXT(A41)),A41,IF(Z41="","",INDEX('[1]liste reference'!$A$7:$A$892,Z41))))</f>
        <v>URTDIO</v>
      </c>
      <c r="Z41" s="8">
        <f>IF(ISERROR(MATCH(A41,'[1]liste reference'!$A$7:$A$892,0)),IF(ISERROR(MATCH(A41,'[1]liste reference'!$B$7:$B$892,0)),"",(MATCH(A41,'[1]liste reference'!$B$7:$B$892,0))),(MATCH(A41,'[1]liste reference'!$A$7:$A$892,0)))</f>
        <v>852</v>
      </c>
      <c r="AA41" s="216"/>
      <c r="AB41" s="217"/>
      <c r="AC41" s="217"/>
      <c r="BC41" s="8">
        <f t="shared" si="8"/>
        <v>1</v>
      </c>
    </row>
    <row r="42" spans="1:55" ht="12.75">
      <c r="A42" s="218" t="s">
        <v>53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53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53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53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53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53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53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53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53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53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53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53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53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53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53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53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53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53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53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53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53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53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53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53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53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53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53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53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53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53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53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53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53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53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53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53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53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53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53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53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53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53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53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53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53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53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53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53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53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53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53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53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53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53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53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53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53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53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53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53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53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53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53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53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53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53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53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53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53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53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53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53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53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53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53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53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96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DURLANDE</v>
      </c>
      <c r="B84" s="248" t="str">
        <f>C3</f>
        <v>DURLANDE A SAINT ETIENNE DU BOIS</v>
      </c>
      <c r="C84" s="249">
        <f>A4</f>
        <v>41085</v>
      </c>
      <c r="D84" s="250">
        <f>IF(ISERROR(SUM($T$23:$T$82)/SUM($U$23:$U$82)),"",SUM($T$23:$T$82)/SUM($U$23:$U$82))</f>
        <v>9.048780487804878</v>
      </c>
      <c r="E84" s="251">
        <f>N13</f>
        <v>19</v>
      </c>
      <c r="F84" s="248">
        <f>N14</f>
        <v>12</v>
      </c>
      <c r="G84" s="248">
        <f>N15</f>
        <v>5</v>
      </c>
      <c r="H84" s="248">
        <f>N16</f>
        <v>7</v>
      </c>
      <c r="I84" s="248">
        <f>N17</f>
        <v>0</v>
      </c>
      <c r="J84" s="252">
        <f>N8</f>
        <v>9.833333333333334</v>
      </c>
      <c r="K84" s="250">
        <f>N9</f>
        <v>3.4597249846912654</v>
      </c>
      <c r="L84" s="251">
        <f>N10</f>
        <v>4</v>
      </c>
      <c r="M84" s="251">
        <f>N11</f>
        <v>15</v>
      </c>
      <c r="N84" s="250">
        <f>O8</f>
        <v>1.5833333333333333</v>
      </c>
      <c r="O84" s="250">
        <f>O9</f>
        <v>0.5149286505444374</v>
      </c>
      <c r="P84" s="251">
        <f>O10</f>
        <v>1</v>
      </c>
      <c r="Q84" s="251">
        <f>O11</f>
        <v>2</v>
      </c>
      <c r="R84" s="251">
        <f>F21</f>
        <v>91.42600000000004</v>
      </c>
      <c r="S84" s="251">
        <f>K11</f>
        <v>0</v>
      </c>
      <c r="T84" s="251">
        <f>K12</f>
        <v>4</v>
      </c>
      <c r="U84" s="251">
        <f>K13</f>
        <v>3</v>
      </c>
      <c r="V84" s="253">
        <f>K14</f>
        <v>0</v>
      </c>
      <c r="W84" s="254">
        <f>K15</f>
        <v>12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97</v>
      </c>
      <c r="R86" s="8"/>
      <c r="S86" s="213"/>
      <c r="T86" s="8"/>
      <c r="U86" s="8"/>
      <c r="V86" s="8"/>
    </row>
    <row r="87" spans="16:22" ht="12.75" hidden="1">
      <c r="P87" s="8"/>
      <c r="Q87" s="8" t="s">
        <v>98</v>
      </c>
      <c r="R87" s="8"/>
      <c r="S87" s="213">
        <f>VLOOKUP(MAX($S$23:$S$82),($S$23:$U$82),1,0)</f>
        <v>50</v>
      </c>
      <c r="T87" s="8"/>
      <c r="U87" s="8"/>
      <c r="V87" s="8"/>
    </row>
    <row r="88" spans="16:22" ht="12.75" hidden="1">
      <c r="P88" s="8"/>
      <c r="Q88" s="8" t="s">
        <v>99</v>
      </c>
      <c r="R88" s="8"/>
      <c r="S88" s="213">
        <f>VLOOKUP((S87),($S$23:$U$82),2,0)</f>
        <v>50</v>
      </c>
      <c r="T88" s="8"/>
      <c r="U88" s="8"/>
      <c r="V88" s="8"/>
    </row>
    <row r="89" spans="17:20" ht="12.75">
      <c r="Q89" s="8" t="s">
        <v>100</v>
      </c>
      <c r="R89" s="8"/>
      <c r="S89" s="213">
        <f>VLOOKUP((S87),($S$23:$U$82),3,0)</f>
        <v>5</v>
      </c>
      <c r="T89" s="8"/>
    </row>
    <row r="90" spans="17:20" ht="12.75">
      <c r="Q90" s="8" t="s">
        <v>101</v>
      </c>
      <c r="R90" s="8"/>
      <c r="S90" s="257">
        <f>IF(ISERROR(SUM($T$23:$T$82)/SUM($U$23:$U$82)),"",(SUM($T$23:$T$82)-S88)/(SUM($U$23:$U$82)-S89))</f>
        <v>8.916666666666666</v>
      </c>
      <c r="T90" s="8"/>
    </row>
    <row r="91" spans="17:21" ht="12.75">
      <c r="Q91" s="212" t="s">
        <v>102</v>
      </c>
      <c r="R91" s="212"/>
      <c r="S91" s="212" t="str">
        <f>INDEX('[1]liste reference'!$A$7:$A$892,$T$91)</f>
        <v>FONANT</v>
      </c>
      <c r="T91" s="8">
        <f>IF(ISERROR(MATCH($S$93,'[1]liste reference'!$A$7:$A$892,0)),MATCH($S$93,'[1]liste reference'!$B$7:$B$892,0),(MATCH($S$93,'[1]liste reference'!$A$7:$A$892,0)))</f>
        <v>304</v>
      </c>
      <c r="U91" s="246"/>
    </row>
    <row r="92" spans="17:20" ht="12.75">
      <c r="Q92" s="8" t="s">
        <v>103</v>
      </c>
      <c r="R92" s="8"/>
      <c r="S92" s="8">
        <f>MATCH(S87,$S$23:$S$82,0)</f>
        <v>7</v>
      </c>
      <c r="T92" s="8"/>
    </row>
    <row r="93" spans="17:20" ht="12.75">
      <c r="Q93" s="212" t="s">
        <v>104</v>
      </c>
      <c r="R93" s="8"/>
      <c r="S93" s="212" t="str">
        <f>INDEX($A$23:$A$82,$S$92)</f>
        <v>FONANT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2012-12-19T09:23:45Z</dcterms:created>
  <dcterms:modified xsi:type="dcterms:W3CDTF">2013-10-03T12:18:55Z</dcterms:modified>
  <cp:category/>
  <cp:version/>
  <cp:contentType/>
  <cp:contentStatus/>
</cp:coreProperties>
</file>