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<sst xmlns="http://schemas.openxmlformats.org/spreadsheetml/2006/main" count="219" uniqueCount="106">
  <si>
    <t>Relevés floristiques aquatiques - IBMR</t>
  </si>
  <si>
    <t xml:space="preserve">Formulaire modèle GIS Macrophytes v 3.3 - novembre 2013  </t>
  </si>
  <si>
    <t>SAGE ENVIRONNEMENT</t>
  </si>
  <si>
    <t>L.BOURGOIN M. SCHNEIDER</t>
  </si>
  <si>
    <t>conforme AFNOR T90-395 oct. 2003</t>
  </si>
  <si>
    <t>OIGNIN</t>
  </si>
  <si>
    <t>OIGNIN A SAMOGNAT</t>
  </si>
  <si>
    <t>06580184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</si>
  <si>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</si>
  <si>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</si>
  <si>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</si>
  <si>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</si>
  <si>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</si>
  <si>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</si>
  <si>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</si>
  <si>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</si>
  <si>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</si>
  <si>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</si>
  <si>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rapide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</si>
  <si>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</si>
  <si>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</si>
  <si>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</si>
  <si>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</si>
  <si>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</si>
  <si>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</si>
  <si>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</si>
  <si>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</si>
  <si>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</si>
  <si>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</si>
  <si>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</si>
  <si>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</si>
  <si>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</si>
  <si>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</si>
  <si>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</si>
  <si>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</si>
  <si>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</si>
  <si>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</si>
  <si>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</si>
  <si>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</si>
  <si>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</si>
  <si>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</si>
  <si>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</si>
  <si>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</si>
  <si>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</si>
  <si>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</si>
  <si>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</si>
  <si>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</si>
  <si>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</si>
  <si>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</si>
  <si>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</si>
  <si>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</si>
  <si>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</si>
  <si>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</si>
  <si>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</si>
  <si>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</si>
  <si>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</si>
  <si>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</si>
  <si>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</si>
  <si>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</si>
  <si>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</si>
  <si>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</si>
  <si>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</si>
  <si>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</si>
  <si>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</si>
  <si>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</si>
  <si>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</si>
  <si>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</si>
  <si>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</si>
  <si>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</si>
  <si>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</si>
  <si>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</si>
  <si>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</si>
  <si>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</si>
  <si>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</si>
  <si>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</si>
  <si>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</si>
  <si>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</si>
  <si>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</si>
  <si>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</si>
  <si>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</si>
  <si>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NOSSPX</t>
  </si>
  <si>
    <t>VAUSPX</t>
  </si>
  <si>
    <t>JUGATR</t>
  </si>
  <si>
    <t>MACPOL</t>
  </si>
  <si>
    <t>PELEND</t>
  </si>
  <si>
    <t>AMBRIP</t>
  </si>
  <si>
    <t>BRARIV</t>
  </si>
  <si>
    <t>CINDAN</t>
  </si>
  <si>
    <t>FONANT</t>
  </si>
  <si>
    <t>RHYRIP</t>
  </si>
  <si>
    <t>BERERE</t>
  </si>
  <si>
    <t>CARELA</t>
  </si>
  <si>
    <t>GLYFLU</t>
  </si>
  <si>
    <t>LYCEUR</t>
  </si>
  <si>
    <t>MENXRO</t>
  </si>
  <si>
    <t>EPIHIR</t>
  </si>
  <si>
    <t>PETHYB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</si>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</sst>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OISAM_19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C12" sqref="C12:C1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11.826086956521738</v>
      </c>
      <c r="M5" s="52"/>
      <c r="N5" s="53" t="s">
        <v>16</v>
      </c>
      <c r="O5" s="54">
        <v>10.324324324324325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11.538461538461538</v>
      </c>
      <c r="O8" s="84">
        <f>IF(ISERROR(AVERAGE(J23:J82)),"      -",AVERAGE(J23:J82))</f>
        <v>1.7692307692307692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41.19</v>
      </c>
      <c r="C9" s="87">
        <v>37.66</v>
      </c>
      <c r="D9" s="88"/>
      <c r="E9" s="88"/>
      <c r="F9" s="89">
        <f>($B9*$B$7+$C9*$C$7)/100</f>
        <v>40.483999999999995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4.499835631449128</v>
      </c>
      <c r="O9" s="84">
        <f>IF(ISERROR(STDEVP(J23:J82)),"      -",STDEVP(J23:J82))</f>
        <v>0.7994080650317895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19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4.01</v>
      </c>
      <c r="C12" s="120">
        <v>1.01</v>
      </c>
      <c r="D12" s="111"/>
      <c r="E12" s="111"/>
      <c r="F12" s="112">
        <f>($B12*$B$7+$C12*$C$7)/100</f>
        <v>3.4099999999999993</v>
      </c>
      <c r="G12" s="121"/>
      <c r="H12" s="67"/>
      <c r="I12" s="122" t="s">
        <v>39</v>
      </c>
      <c r="J12" s="123"/>
      <c r="K12" s="116">
        <f>COUNTIF($G$23:$G$82,"=ALG")</f>
        <v>3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36.14</v>
      </c>
      <c r="C13" s="120">
        <v>18.61</v>
      </c>
      <c r="D13" s="111"/>
      <c r="E13" s="111"/>
      <c r="F13" s="112">
        <f>($B13*$B$7+$C13*$C$7)/100</f>
        <v>32.63399999999999</v>
      </c>
      <c r="G13" s="121"/>
      <c r="H13" s="67"/>
      <c r="I13" s="129" t="s">
        <v>41</v>
      </c>
      <c r="J13" s="123"/>
      <c r="K13" s="116">
        <f>COUNTIF($G$23:$G$82,"=BRm")+COUNTIF($G$23:$G$82,"=BRh")</f>
        <v>9</v>
      </c>
      <c r="L13" s="117"/>
      <c r="M13" s="130" t="s">
        <v>42</v>
      </c>
      <c r="N13" s="131">
        <f>COUNTIF(F23:F82,"&gt;0")</f>
        <v>19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13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1.04</v>
      </c>
      <c r="C15" s="139">
        <v>18.04</v>
      </c>
      <c r="D15" s="111"/>
      <c r="E15" s="111"/>
      <c r="F15" s="112">
        <f>($B15*$B$7+$C15*$C$7)/100</f>
        <v>4.4399999999999995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7</v>
      </c>
      <c r="L15" s="117"/>
      <c r="M15" s="140" t="s">
        <v>48</v>
      </c>
      <c r="N15" s="141">
        <f>COUNTIF(J23:J82,"=1")</f>
        <v>6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40.15</v>
      </c>
      <c r="C17" s="120">
        <v>19.62</v>
      </c>
      <c r="D17" s="111"/>
      <c r="E17" s="111"/>
      <c r="F17" s="147"/>
      <c r="G17" s="112">
        <f>($B17*$B$7+$C17*$C$7)/100</f>
        <v>36.044000000000004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3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1.04</v>
      </c>
      <c r="C18" s="151">
        <v>18.04</v>
      </c>
      <c r="D18" s="111"/>
      <c r="E18" s="152" t="s">
        <v>54</v>
      </c>
      <c r="F18" s="147"/>
      <c r="G18" s="112">
        <f>($B18*$B$7+$C18*$C$7)/100</f>
        <v>4.4399999999999995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40.48399999999999</v>
      </c>
      <c r="G19" s="161">
        <f>SUM(G16:G18)</f>
        <v>40.484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41.18999999999999</v>
      </c>
      <c r="C20" s="171">
        <f>SUM(C23:C82)</f>
        <v>37.66000000000001</v>
      </c>
      <c r="D20" s="172"/>
      <c r="E20" s="173" t="s">
        <v>54</v>
      </c>
      <c r="F20" s="174">
        <f>($B20*$B$7+$C20*$C$7)/100</f>
        <v>40.483999999999995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32.95199999999999</v>
      </c>
      <c r="C21" s="184">
        <f>C20*C7/100</f>
        <v>7.532000000000003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40.483999999999995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2.7</v>
      </c>
      <c r="C23" s="212">
        <v>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2.36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2.3600000000000003</v>
      </c>
      <c r="R23" s="222">
        <f aca="true" t="shared" si="2" ref="R23:R82">IF(OR(ISTEXT(H23),Q23=0),"",IF(Q23&lt;0.1,1,IF(Q23&lt;1,2,IF(Q23&lt;10,3,IF(Q23&lt;50,4,IF(Q23&gt;=50,5,""))))))</f>
        <v>3</v>
      </c>
      <c r="S23" s="222">
        <f aca="true" t="shared" si="3" ref="S23:S82">IF(ISERROR(R23*I23),0,R23*I23)</f>
        <v>18</v>
      </c>
      <c r="T23" s="222">
        <f aca="true" t="shared" si="4" ref="T23:T82">IF(ISERROR(R23*I23*J23),0,R23*I23*J23)</f>
        <v>18</v>
      </c>
      <c r="U23" s="222">
        <f aca="true" t="shared" si="5" ref="U23:U82">IF(ISERROR(R23*J23),0,R23*J23)</f>
        <v>3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0.01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Nostoc sp.</v>
      </c>
      <c r="E24" s="231" t="e">
        <f>IF(D24="",,VLOOKUP(D24,D$22:D23,1,0))</f>
        <v>#N/A</v>
      </c>
      <c r="F24" s="232">
        <f t="shared" si="0"/>
        <v>0.01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9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Nostoc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1105</v>
      </c>
      <c r="Q24" s="221">
        <f t="shared" si="1"/>
        <v>0.01</v>
      </c>
      <c r="R24" s="222">
        <f t="shared" si="2"/>
        <v>1</v>
      </c>
      <c r="S24" s="222">
        <f t="shared" si="3"/>
        <v>9</v>
      </c>
      <c r="T24" s="222">
        <f t="shared" si="4"/>
        <v>9</v>
      </c>
      <c r="U24" s="234">
        <f t="shared" si="5"/>
        <v>1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NOSSPX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1.3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0"/>
        <v>1.04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1"/>
        <v>1.04</v>
      </c>
      <c r="R25" s="222">
        <f t="shared" si="2"/>
        <v>3</v>
      </c>
      <c r="S25" s="222">
        <f t="shared" si="3"/>
        <v>12</v>
      </c>
      <c r="T25" s="222">
        <f t="shared" si="4"/>
        <v>12</v>
      </c>
      <c r="U25" s="234">
        <f t="shared" si="5"/>
        <v>3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0.01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Jungermannia atrovirens</v>
      </c>
      <c r="E26" s="231" t="e">
        <f>IF(D26="",,VLOOKUP(D26,D$22:D25,1,0))</f>
        <v>#N/A</v>
      </c>
      <c r="F26" s="232">
        <f t="shared" si="0"/>
        <v>0.008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19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Jungermannia atrovirens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19820</v>
      </c>
      <c r="Q26" s="221">
        <f t="shared" si="1"/>
        <v>0.008</v>
      </c>
      <c r="R26" s="222">
        <f t="shared" si="2"/>
        <v>1</v>
      </c>
      <c r="S26" s="222">
        <f t="shared" si="3"/>
        <v>19</v>
      </c>
      <c r="T26" s="222">
        <f t="shared" si="4"/>
        <v>57</v>
      </c>
      <c r="U26" s="234">
        <f t="shared" si="5"/>
        <v>3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JUGATR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101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Marchantia polymorpha</v>
      </c>
      <c r="E27" s="231" t="e">
        <f>IF(D27="",,VLOOKUP(D27,D$22:D26,1,0))</f>
        <v>#N/A</v>
      </c>
      <c r="F27" s="232">
        <f t="shared" si="0"/>
        <v>0.008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Marchantia polymorpha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1192</v>
      </c>
      <c r="Q27" s="221">
        <f t="shared" si="1"/>
        <v>0.008</v>
      </c>
      <c r="R27" s="222">
        <f t="shared" si="2"/>
        <v>1</v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MACPOL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111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5.1</v>
      </c>
      <c r="C28" s="230">
        <v>8.1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Pellia endiviifolia</v>
      </c>
      <c r="E28" s="231" t="e">
        <f>IF(D28="",,VLOOKUP(D28,D$22:D27,1,0))</f>
        <v>#N/A</v>
      </c>
      <c r="F28" s="232">
        <f t="shared" si="0"/>
        <v>5.7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BRh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4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Pellia endiviifolia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1197</v>
      </c>
      <c r="Q28" s="221">
        <f t="shared" si="1"/>
        <v>5.7</v>
      </c>
      <c r="R28" s="222">
        <f t="shared" si="2"/>
        <v>3</v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PELEND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120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10.01</v>
      </c>
      <c r="C29" s="230">
        <v>10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riparium</v>
      </c>
      <c r="E29" s="231" t="e">
        <f>IF(D29="",,VLOOKUP(D29,D$22:D28,1,0))</f>
        <v>#N/A</v>
      </c>
      <c r="F29" s="232">
        <f t="shared" si="0"/>
        <v>10.008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riparium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21">
        <f t="shared" si="1"/>
        <v>10.008</v>
      </c>
      <c r="R29" s="222">
        <f t="shared" si="2"/>
        <v>4</v>
      </c>
      <c r="S29" s="222">
        <f t="shared" si="3"/>
        <v>20</v>
      </c>
      <c r="T29" s="222">
        <f t="shared" si="4"/>
        <v>40</v>
      </c>
      <c r="U29" s="234">
        <f t="shared" si="5"/>
        <v>8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AMBRIP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148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86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Brachythecium rivulare</v>
      </c>
      <c r="E30" s="231" t="e">
        <f>IF(D30="",,VLOOKUP(D30,D$22:D29,1,0))</f>
        <v>#N/A</v>
      </c>
      <c r="F30" s="232">
        <f t="shared" si="0"/>
        <v>0.002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Brachythecium rivulare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1260</v>
      </c>
      <c r="Q30" s="221">
        <f t="shared" si="1"/>
        <v>0.002</v>
      </c>
      <c r="R30" s="222">
        <f t="shared" si="2"/>
        <v>1</v>
      </c>
      <c r="S30" s="222">
        <f t="shared" si="3"/>
        <v>15</v>
      </c>
      <c r="T30" s="222">
        <f t="shared" si="4"/>
        <v>30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BRARIV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155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87</v>
      </c>
      <c r="B31" s="229">
        <v>10</v>
      </c>
      <c r="C31" s="230">
        <v>0.5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Cinclidotus danubicus</v>
      </c>
      <c r="E31" s="231" t="e">
        <f>IF(D31="",,VLOOKUP(D31,D$22:D30,1,0))</f>
        <v>#N/A</v>
      </c>
      <c r="F31" s="232">
        <f t="shared" si="0"/>
        <v>8.1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13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3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Cinclidotus danubicus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1319</v>
      </c>
      <c r="Q31" s="221">
        <f t="shared" si="1"/>
        <v>8.1</v>
      </c>
      <c r="R31" s="222">
        <f t="shared" si="2"/>
        <v>3</v>
      </c>
      <c r="S31" s="222">
        <f t="shared" si="3"/>
        <v>39</v>
      </c>
      <c r="T31" s="222">
        <f t="shared" si="4"/>
        <v>117</v>
      </c>
      <c r="U31" s="234">
        <f t="shared" si="5"/>
        <v>9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CINDAN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171</v>
      </c>
      <c r="AA31" s="226"/>
      <c r="AB31" s="227"/>
      <c r="AC31" s="227"/>
      <c r="BB31" s="8">
        <f t="shared" si="7"/>
        <v>1</v>
      </c>
    </row>
    <row r="32" spans="1:54" ht="12.75">
      <c r="A32" s="228" t="s">
        <v>16</v>
      </c>
      <c r="B32" s="229">
        <v>10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Cratoneuron filicinum</v>
      </c>
      <c r="E32" s="231" t="e">
        <f>IF(D32="",,VLOOKUP(D32,D$22:D31,1,0))</f>
        <v>#N/A</v>
      </c>
      <c r="F32" s="232">
        <f t="shared" si="0"/>
        <v>8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18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Cratoneuron filicinum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1233</v>
      </c>
      <c r="Q32" s="221">
        <f t="shared" si="1"/>
        <v>8</v>
      </c>
      <c r="R32" s="222">
        <f t="shared" si="2"/>
        <v>3</v>
      </c>
      <c r="S32" s="222">
        <f t="shared" si="3"/>
        <v>54</v>
      </c>
      <c r="T32" s="222">
        <f t="shared" si="4"/>
        <v>162</v>
      </c>
      <c r="U32" s="234">
        <f t="shared" si="5"/>
        <v>9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CRAFIL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178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88</v>
      </c>
      <c r="B33" s="229">
        <v>1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Fontinalis antipyretica</v>
      </c>
      <c r="E33" s="231" t="e">
        <f>IF(D33="",,VLOOKUP(D33,D$22:D32,1,0))</f>
        <v>#N/A</v>
      </c>
      <c r="F33" s="232">
        <f t="shared" si="0"/>
        <v>0.8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Fontinalis antipyretica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1310</v>
      </c>
      <c r="Q33" s="221">
        <f t="shared" si="1"/>
        <v>0.8</v>
      </c>
      <c r="R33" s="222">
        <f t="shared" si="2"/>
        <v>2</v>
      </c>
      <c r="S33" s="222">
        <f t="shared" si="3"/>
        <v>20</v>
      </c>
      <c r="T33" s="222">
        <f t="shared" si="4"/>
        <v>20</v>
      </c>
      <c r="U33" s="234">
        <f t="shared" si="5"/>
        <v>2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FONANT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210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89</v>
      </c>
      <c r="B34" s="229">
        <v>0.01</v>
      </c>
      <c r="C34" s="230">
        <v>0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Rhynchostegium riparioides</v>
      </c>
      <c r="E34" s="231" t="e">
        <f>IF(D34="",,VLOOKUP(D34,D$22:D33,1,0))</f>
        <v>#N/A</v>
      </c>
      <c r="F34" s="236">
        <f t="shared" si="0"/>
        <v>0.008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12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Rhynchostegium riparioides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1268</v>
      </c>
      <c r="Q34" s="221">
        <f t="shared" si="1"/>
        <v>0.008</v>
      </c>
      <c r="R34" s="222">
        <f t="shared" si="2"/>
        <v>1</v>
      </c>
      <c r="S34" s="222">
        <f t="shared" si="3"/>
        <v>12</v>
      </c>
      <c r="T34" s="222">
        <f t="shared" si="4"/>
        <v>12</v>
      </c>
      <c r="U34" s="234">
        <f t="shared" si="5"/>
        <v>1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RHYRIP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252</v>
      </c>
      <c r="AA34" s="226"/>
      <c r="AB34" s="227"/>
      <c r="AC34" s="227"/>
      <c r="BB34" s="8">
        <f t="shared" si="7"/>
        <v>1</v>
      </c>
    </row>
    <row r="35" spans="1:54" ht="12.75">
      <c r="A35" s="228" t="s">
        <v>90</v>
      </c>
      <c r="B35" s="229">
        <v>0.01</v>
      </c>
      <c r="C35" s="230">
        <v>0.01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Berula erecta</v>
      </c>
      <c r="E35" s="231" t="e">
        <f>IF(D35="",,VLOOKUP(D35,D$22:D34,1,0))</f>
        <v>#N/A</v>
      </c>
      <c r="F35" s="236">
        <f t="shared" si="0"/>
        <v>0.01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14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Berula erecta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1977</v>
      </c>
      <c r="Q35" s="221">
        <f t="shared" si="1"/>
        <v>0.01</v>
      </c>
      <c r="R35" s="222">
        <f t="shared" si="2"/>
        <v>1</v>
      </c>
      <c r="S35" s="222">
        <f t="shared" si="3"/>
        <v>14</v>
      </c>
      <c r="T35" s="222">
        <f t="shared" si="4"/>
        <v>28</v>
      </c>
      <c r="U35" s="234">
        <f t="shared" si="5"/>
        <v>2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BERERE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527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91</v>
      </c>
      <c r="B36" s="229">
        <v>0.01</v>
      </c>
      <c r="C36" s="230">
        <v>0.01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Carex elata</v>
      </c>
      <c r="E36" s="231" t="e">
        <f>IF(D36="",,VLOOKUP(D36,D$22:D35,1,0))</f>
        <v>#N/A</v>
      </c>
      <c r="F36" s="236">
        <f t="shared" si="0"/>
        <v>0.01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Carex elata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1475</v>
      </c>
      <c r="Q36" s="221">
        <f t="shared" si="1"/>
        <v>0.01</v>
      </c>
      <c r="R36" s="222">
        <f t="shared" si="2"/>
        <v>1</v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CARELA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539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92</v>
      </c>
      <c r="B37" s="229">
        <v>0.01</v>
      </c>
      <c r="C37" s="230">
        <v>0.01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Glyceria fluitans</v>
      </c>
      <c r="E37" s="231" t="e">
        <f>IF(D37="",,VLOOKUP(D37,D$22:D36,1,0))</f>
        <v>#N/A</v>
      </c>
      <c r="F37" s="236">
        <f t="shared" si="0"/>
        <v>0.01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14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Glyceria fluitans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1564</v>
      </c>
      <c r="Q37" s="221">
        <f t="shared" si="1"/>
        <v>0.01</v>
      </c>
      <c r="R37" s="222">
        <f t="shared" si="2"/>
        <v>1</v>
      </c>
      <c r="S37" s="222">
        <f t="shared" si="3"/>
        <v>14</v>
      </c>
      <c r="T37" s="222">
        <f t="shared" si="4"/>
        <v>28</v>
      </c>
      <c r="U37" s="234">
        <f t="shared" si="5"/>
        <v>2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GLYFLU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575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93</v>
      </c>
      <c r="B38" s="229">
        <v>0.01</v>
      </c>
      <c r="C38" s="230">
        <v>0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Lycopus europaeus</v>
      </c>
      <c r="E38" s="231" t="e">
        <f>IF(D38="",,VLOOKUP(D38,D$22:D37,1,0))</f>
        <v>#N/A</v>
      </c>
      <c r="F38" s="236">
        <f t="shared" si="0"/>
        <v>0.008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11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1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Lycopus europaeus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1789</v>
      </c>
      <c r="Q38" s="221">
        <f t="shared" si="1"/>
        <v>0.008</v>
      </c>
      <c r="R38" s="222">
        <f t="shared" si="2"/>
        <v>1</v>
      </c>
      <c r="S38" s="222">
        <f t="shared" si="3"/>
        <v>11</v>
      </c>
      <c r="T38" s="222">
        <f t="shared" si="4"/>
        <v>11</v>
      </c>
      <c r="U38" s="234">
        <f t="shared" si="5"/>
        <v>1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LYCEUR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596</v>
      </c>
      <c r="AA38" s="226"/>
      <c r="AB38" s="227"/>
      <c r="AC38" s="227"/>
      <c r="BB38" s="8">
        <f t="shared" si="7"/>
        <v>1</v>
      </c>
    </row>
    <row r="39" spans="1:54" ht="12.75">
      <c r="A39" s="228" t="s">
        <v>94</v>
      </c>
      <c r="B39" s="229">
        <v>0</v>
      </c>
      <c r="C39" s="230">
        <v>0.01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Mentha x rotundifolia</v>
      </c>
      <c r="E39" s="231" t="e">
        <f>IF(D39="",,VLOOKUP(D39,D$22:D38,1,0))</f>
        <v>#N/A</v>
      </c>
      <c r="F39" s="236">
        <f t="shared" si="0"/>
        <v>0.002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Mentha x rotundifolia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19857</v>
      </c>
      <c r="Q39" s="221">
        <f t="shared" si="1"/>
        <v>0.002</v>
      </c>
      <c r="R39" s="222">
        <f t="shared" si="2"/>
        <v>1</v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 t="str">
        <f>IF(A39="new.cod","NEWCOD",IF(AND((Z39=""),ISTEXT(A39)),A39,IF(Z39="","",INDEX('[1]liste reference'!$A$8:$A$904,Z39))))</f>
        <v>MENXRO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611</v>
      </c>
      <c r="AA39" s="226"/>
      <c r="AB39" s="227"/>
      <c r="AC39" s="227"/>
      <c r="BB39" s="8">
        <f t="shared" si="7"/>
        <v>1</v>
      </c>
    </row>
    <row r="40" spans="1:54" ht="12.75">
      <c r="A40" s="228" t="s">
        <v>95</v>
      </c>
      <c r="B40" s="229">
        <v>0</v>
      </c>
      <c r="C40" s="230">
        <v>3.0000000000000004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Epilobium hirsutum</v>
      </c>
      <c r="E40" s="231" t="e">
        <f>IF(D40="",,VLOOKUP(D40,D$22:D39,1,0))</f>
        <v>#N/A</v>
      </c>
      <c r="F40" s="236">
        <f t="shared" si="0"/>
        <v>0.6000000000000001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PHg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9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Epilobium hirsutum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1846</v>
      </c>
      <c r="Q40" s="221">
        <f t="shared" si="1"/>
        <v>0.6000000000000001</v>
      </c>
      <c r="R40" s="222">
        <f t="shared" si="2"/>
        <v>2</v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 t="str">
        <f>IF(A40="new.cod","NEWCOD",IF(AND((Z40=""),ISTEXT(A40)),A40,IF(Z40="","",INDEX('[1]liste reference'!$A$8:$A$904,Z40))))</f>
        <v>EPIHIR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743</v>
      </c>
      <c r="AA40" s="226"/>
      <c r="AB40" s="227"/>
      <c r="AC40" s="227"/>
      <c r="BB40" s="8">
        <f t="shared" si="7"/>
        <v>1</v>
      </c>
    </row>
    <row r="41" spans="1:54" ht="12.75">
      <c r="A41" s="228" t="s">
        <v>96</v>
      </c>
      <c r="B41" s="229">
        <v>1</v>
      </c>
      <c r="C41" s="230">
        <v>15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Petasites hybridus</v>
      </c>
      <c r="E41" s="231" t="e">
        <f>IF(D41="",,VLOOKUP(D41,D$22:D40,1,0))</f>
        <v>#N/A</v>
      </c>
      <c r="F41" s="236">
        <f t="shared" si="0"/>
        <v>3.8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PHg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9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Petasites hybridus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1745</v>
      </c>
      <c r="Q41" s="221">
        <f t="shared" si="1"/>
        <v>3.8</v>
      </c>
      <c r="R41" s="222">
        <f t="shared" si="2"/>
        <v>3</v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 t="str">
        <f>IF(A41="new.cod","NEWCOD",IF(AND((Z41=""),ISTEXT(A41)),A41,IF(Z41="","",INDEX('[1]liste reference'!$A$8:$A$904,Z41))))</f>
        <v>PETHYB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788</v>
      </c>
      <c r="AA41" s="226"/>
      <c r="AB41" s="227"/>
      <c r="AC41" s="227"/>
      <c r="BB41" s="8">
        <f t="shared" si="7"/>
        <v>1</v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OIGNIN</v>
      </c>
      <c r="B84" s="265" t="str">
        <f>C3</f>
        <v>OIGNIN A SAMOGNAT</v>
      </c>
      <c r="C84" s="266">
        <f>A4</f>
        <v>41809</v>
      </c>
      <c r="D84" s="267">
        <f>IF(ISERROR(SUM($T$23:$T$82)/SUM($U$23:$U$82)),"",SUM($T$23:$T$82)/SUM($U$23:$U$82))</f>
        <v>11.826086956521738</v>
      </c>
      <c r="E84" s="268">
        <f>N13</f>
        <v>19</v>
      </c>
      <c r="F84" s="265">
        <f>N14</f>
        <v>13</v>
      </c>
      <c r="G84" s="265">
        <f>N15</f>
        <v>6</v>
      </c>
      <c r="H84" s="265">
        <f>N16</f>
        <v>4</v>
      </c>
      <c r="I84" s="265">
        <f>N17</f>
        <v>3</v>
      </c>
      <c r="J84" s="269">
        <f>N8</f>
        <v>11.538461538461538</v>
      </c>
      <c r="K84" s="267">
        <f>N9</f>
        <v>4.499835631449128</v>
      </c>
      <c r="L84" s="268">
        <f>N10</f>
        <v>4</v>
      </c>
      <c r="M84" s="268">
        <f>N11</f>
        <v>19</v>
      </c>
      <c r="N84" s="267">
        <f>O8</f>
        <v>1.7692307692307692</v>
      </c>
      <c r="O84" s="267">
        <f>O9</f>
        <v>0.7994080650317895</v>
      </c>
      <c r="P84" s="268">
        <f>O10</f>
        <v>1</v>
      </c>
      <c r="Q84" s="268">
        <f>O11</f>
        <v>3</v>
      </c>
      <c r="R84" s="268">
        <f>F21</f>
        <v>40.483999999999995</v>
      </c>
      <c r="S84" s="268">
        <f>K11</f>
        <v>0</v>
      </c>
      <c r="T84" s="268">
        <f>K12</f>
        <v>3</v>
      </c>
      <c r="U84" s="268">
        <f>K13</f>
        <v>9</v>
      </c>
      <c r="V84" s="270">
        <f>K14</f>
        <v>0</v>
      </c>
      <c r="W84" s="271">
        <f>K15</f>
        <v>7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98</v>
      </c>
      <c r="R86" s="8"/>
      <c r="S86" s="223"/>
      <c r="T86" s="8"/>
      <c r="U86" s="8"/>
      <c r="V86" s="8"/>
    </row>
    <row r="87" spans="16:22" ht="12.75" hidden="1">
      <c r="P87" s="8"/>
      <c r="Q87" s="8" t="s">
        <v>99</v>
      </c>
      <c r="R87" s="8"/>
      <c r="S87" s="223">
        <f>VLOOKUP(MAX($S$23:$S$82),($S$23:$U$82),1,0)</f>
        <v>54</v>
      </c>
      <c r="T87" s="8"/>
      <c r="U87" s="8"/>
      <c r="V87" s="8"/>
    </row>
    <row r="88" spans="16:22" ht="12.75" hidden="1">
      <c r="P88" s="8"/>
      <c r="Q88" s="8" t="s">
        <v>100</v>
      </c>
      <c r="R88" s="8"/>
      <c r="S88" s="223">
        <f>VLOOKUP((S87),($S$23:$U$82),2,0)</f>
        <v>162</v>
      </c>
      <c r="T88" s="8"/>
      <c r="U88" s="8"/>
      <c r="V88" s="8"/>
    </row>
    <row r="89" spans="17:20" ht="12.75" hidden="1">
      <c r="Q89" s="8" t="s">
        <v>101</v>
      </c>
      <c r="R89" s="8"/>
      <c r="S89" s="223">
        <f>VLOOKUP((S87),($S$23:$U$82),3,0)</f>
        <v>9</v>
      </c>
      <c r="T89" s="8"/>
    </row>
    <row r="90" spans="17:20" ht="12.75">
      <c r="Q90" s="8" t="s">
        <v>102</v>
      </c>
      <c r="R90" s="8"/>
      <c r="S90" s="274">
        <f>IF(ISERROR(SUM($T$23:$T$82)/SUM($U$23:$U$82)),"",(SUM($T$23:$T$82)-S88)/(SUM($U$23:$U$82)-S89))</f>
        <v>10.324324324324325</v>
      </c>
      <c r="T90" s="8"/>
    </row>
    <row r="91" spans="17:21" ht="12.75">
      <c r="Q91" s="222" t="s">
        <v>103</v>
      </c>
      <c r="R91" s="222"/>
      <c r="S91" s="222" t="str">
        <f>INDEX('[1]liste reference'!$A$8:$A$904,$T$91)</f>
        <v>CRAFIL</v>
      </c>
      <c r="T91" s="8">
        <f>IF(ISERROR(MATCH($S$93,'[1]liste reference'!$A$8:$A$904,0)),MATCH($S$93,'[1]liste reference'!$B$8:$B$904,0),(MATCH($S$93,'[1]liste reference'!$A$8:$A$904,0)))</f>
        <v>178</v>
      </c>
      <c r="U91" s="263"/>
    </row>
    <row r="92" spans="17:20" ht="12.75">
      <c r="Q92" s="8" t="s">
        <v>104</v>
      </c>
      <c r="R92" s="8"/>
      <c r="S92" s="8">
        <f>MATCH(S87,$S$23:$S$82,0)</f>
        <v>10</v>
      </c>
      <c r="T92" s="8"/>
    </row>
    <row r="93" spans="17:20" ht="12.75">
      <c r="Q93" s="222" t="s">
        <v>105</v>
      </c>
      <c r="R93" s="8"/>
      <c r="S93" s="222" t="str">
        <f>INDEX($A$23:$A$82,$S$92)</f>
        <v>CRAFIL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2015-03-17T10:36:45Z</dcterms:created>
  <dcterms:modified xsi:type="dcterms:W3CDTF">2015-03-17T10:36:51Z</dcterms:modified>
  <cp:category/>
  <cp:version/>
  <cp:contentType/>
  <cp:contentStatus/>
</cp:coreProperties>
</file>