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<sst xmlns="http://schemas.openxmlformats.org/spreadsheetml/2006/main" count="217" uniqueCount="101">
  <si>
    <t>Relevés floristiques aquatiques - IBMR</t>
  </si>
  <si>
    <t>modèle Irstea-GIS</t>
  </si>
  <si>
    <t>SAGE</t>
  </si>
  <si>
    <t>LBOURGOIN CBERNARD</t>
  </si>
  <si>
    <t>ROUBION</t>
  </si>
  <si>
    <t>ROUBION A MONTELIMAR</t>
  </si>
  <si>
    <t>06580316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</si>
  <si>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</si>
  <si>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</si>
  <si>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</si>
  <si>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</si>
  <si>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</si>
  <si>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</si>
  <si>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</si>
  <si>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</si>
  <si>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</si>
  <si>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</si>
  <si>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</si>
  <si>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</si>
  <si>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</si>
  <si>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</si>
  <si>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</si>
  <si>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</si>
  <si>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</si>
  <si>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</si>
  <si>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</si>
  <si>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</si>
  <si>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</si>
  <si>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</si>
  <si>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</si>
  <si>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</si>
  <si>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</si>
  <si>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</si>
  <si>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</si>
  <si>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</si>
  <si>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</si>
  <si>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</si>
  <si>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</si>
  <si>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</si>
  <si>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</si>
  <si>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</si>
  <si>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</si>
  <si>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</si>
  <si>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</si>
  <si>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</si>
  <si>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</si>
  <si>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</si>
  <si>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</si>
  <si>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</si>
  <si>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</si>
  <si>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</si>
  <si>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</si>
  <si>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</si>
  <si>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</si>
  <si>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</si>
  <si>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</si>
  <si>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</si>
  <si>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</si>
  <si>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</si>
  <si>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</si>
  <si>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</si>
  <si>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</si>
  <si>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</si>
  <si>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</si>
  <si>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</si>
  <si>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</si>
  <si>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</si>
  <si>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</si>
  <si>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</si>
  <si>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</si>
  <si>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</si>
  <si>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</si>
  <si>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</si>
  <si>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</si>
  <si>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</si>
  <si>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</si>
  <si>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</si>
  <si>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</si>
  <si>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</si>
  <si>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</si>
  <si>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</si>
  <si>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MICSPX</t>
  </si>
  <si>
    <t>FISCRA</t>
  </si>
  <si>
    <t>EQUSPX</t>
  </si>
  <si>
    <t>ALIPLA</t>
  </si>
  <si>
    <t>SPAEMB</t>
  </si>
  <si>
    <t>GLYFLU</t>
  </si>
  <si>
    <t>PHAARU</t>
  </si>
  <si>
    <t>SPAERE</t>
  </si>
  <si>
    <t>VERANA</t>
  </si>
  <si>
    <t>JUNSPX</t>
  </si>
  <si>
    <t>LYSVUL</t>
  </si>
  <si>
    <t>SCPHOL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</si>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</sst>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OUBIO_21-05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42145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10.363636363636363</v>
      </c>
      <c r="N5" s="50"/>
      <c r="O5" s="51" t="s">
        <v>16</v>
      </c>
      <c r="P5" s="52">
        <v>11.333333333333334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80</v>
      </c>
      <c r="C7" s="68">
        <v>20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10.666666666666666</v>
      </c>
      <c r="P8" s="85">
        <f>IF(ISERROR(AVERAGE(K23:K82)),"  ",AVERAGE(K23:K82))</f>
        <v>1.6666666666666667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30</v>
      </c>
      <c r="C9" s="88">
        <v>10.39</v>
      </c>
      <c r="D9" s="89"/>
      <c r="E9" s="89"/>
      <c r="F9" s="90">
        <f>($B9*$B$7+$C9*$C$7)/100</f>
        <v>26.078000000000003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2.3570226039551585</v>
      </c>
      <c r="P9" s="85">
        <f>IF(ISERROR(STDEVP(K23:K82)),"  ",STDEVP(K23:K82))</f>
        <v>0.4714045207910317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14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30</v>
      </c>
      <c r="C12" s="114">
        <v>5</v>
      </c>
      <c r="D12" s="89"/>
      <c r="E12" s="89"/>
      <c r="F12" s="106">
        <f>($B12*$B$7+$C12*$C$7)/100</f>
        <v>25</v>
      </c>
      <c r="G12" s="107"/>
      <c r="H12" s="56"/>
      <c r="I12" s="5"/>
      <c r="J12" s="108" t="s">
        <v>38</v>
      </c>
      <c r="K12" s="109"/>
      <c r="L12" s="110">
        <f>COUNTIF($G$23:$G$82,"=ALG")</f>
        <v>2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>
        <v>0.3</v>
      </c>
      <c r="D13" s="89"/>
      <c r="E13" s="89"/>
      <c r="F13" s="106">
        <f>($B13*$B$7+$C13*$C$7)/100</f>
        <v>0.06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1</v>
      </c>
      <c r="M13" s="111"/>
      <c r="N13" s="120" t="s">
        <v>41</v>
      </c>
      <c r="O13" s="121">
        <f>COUNTIF(F23:F82,"&gt;0")</f>
        <v>13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1</v>
      </c>
      <c r="M14" s="111"/>
      <c r="N14" s="123" t="s">
        <v>44</v>
      </c>
      <c r="O14" s="124">
        <f>COUNTIF($J$23:$J$82,"&gt;-1")</f>
        <v>9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>
        <v>5.09</v>
      </c>
      <c r="D15" s="89"/>
      <c r="E15" s="89"/>
      <c r="F15" s="106">
        <f>($B15*$B$7+$C15*$C$7)/100</f>
        <v>1.018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9</v>
      </c>
      <c r="M15" s="111"/>
      <c r="N15" s="120" t="s">
        <v>47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6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30</v>
      </c>
      <c r="C17" s="114">
        <v>10.29</v>
      </c>
      <c r="D17" s="89"/>
      <c r="E17" s="89"/>
      <c r="F17" s="133"/>
      <c r="G17" s="134">
        <f>($B17*$B$7+$C17*$C$7)/100</f>
        <v>26.058000000000003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0.6923076923076923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>
        <v>0.1</v>
      </c>
      <c r="D18" s="89"/>
      <c r="E18" s="144" t="s">
        <v>54</v>
      </c>
      <c r="F18" s="133"/>
      <c r="G18" s="134">
        <f>($B18*$B$7+$C18*$C$7)/100</f>
        <v>0.02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26.078</v>
      </c>
      <c r="G19" s="157">
        <f>SUM(G16:G18)</f>
        <v>26.078000000000003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30</v>
      </c>
      <c r="C20" s="167">
        <f>SUM(C23:C62)</f>
        <v>10.389999999999997</v>
      </c>
      <c r="D20" s="168"/>
      <c r="E20" s="169" t="s">
        <v>54</v>
      </c>
      <c r="F20" s="170">
        <f>($B20*$B$7+$C20*$C$7)/100</f>
        <v>26.078000000000003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24</v>
      </c>
      <c r="C21" s="178">
        <f>C20*C7/100</f>
        <v>2.0779999999999994</v>
      </c>
      <c r="D21" s="179" t="s">
        <v>58</v>
      </c>
      <c r="E21" s="180"/>
      <c r="F21" s="181">
        <f>B21+C21</f>
        <v>26.078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29.25</v>
      </c>
      <c r="C23" s="208">
        <v>4.75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24.35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24.349999999999998</v>
      </c>
      <c r="S23" s="220">
        <f aca="true" t="shared" si="3" ref="S23:S82">IF(OR(ISTEXT(H23),R23=0),"",IF(R23&lt;0.1,1,IF(R23&lt;1,2,IF(R23&lt;10,3,IF(R23&lt;50,4,IF(R23&gt;=50,5,""))))))</f>
        <v>4</v>
      </c>
      <c r="T23" s="220">
        <f aca="true" t="shared" si="4" ref="T23:T82">IF(ISERROR(S23*J23),0,S23*J23)</f>
        <v>24</v>
      </c>
      <c r="U23" s="220">
        <f aca="true" t="shared" si="5" ref="U23:U82">IF(ISERROR(S23*J23*K23),0,S23*J23*K23)</f>
        <v>24</v>
      </c>
      <c r="V23" s="220">
        <f aca="true" t="shared" si="6" ref="V23:V82">IF(ISERROR(S23*K23),0,S23*K23)</f>
        <v>4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81</v>
      </c>
      <c r="B24" s="225">
        <v>0.7500000000000001</v>
      </c>
      <c r="C24" s="226">
        <v>0.25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Microspora sp.</v>
      </c>
      <c r="E24" s="228" t="e">
        <f>IF(D24="",,VLOOKUP(D24,D$22:D23,1,0))</f>
        <v>#N/A</v>
      </c>
      <c r="F24" s="229">
        <f t="shared" si="0"/>
        <v>0.65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Microspora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1132</v>
      </c>
      <c r="R24" s="219">
        <f t="shared" si="2"/>
        <v>0.6500000000000001</v>
      </c>
      <c r="S24" s="220">
        <f t="shared" si="3"/>
        <v>2</v>
      </c>
      <c r="T24" s="220">
        <f t="shared" si="4"/>
        <v>24</v>
      </c>
      <c r="U24" s="220">
        <f t="shared" si="5"/>
        <v>48</v>
      </c>
      <c r="V24" s="236">
        <f t="shared" si="6"/>
        <v>4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MICSPX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66</v>
      </c>
    </row>
    <row r="25" spans="1:26" ht="12.75">
      <c r="A25" s="224" t="s">
        <v>82</v>
      </c>
      <c r="B25" s="225">
        <v>0</v>
      </c>
      <c r="C25" s="226">
        <v>0.3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Fissidens crassipes</v>
      </c>
      <c r="E25" s="228" t="e">
        <f>IF(D25="",,VLOOKUP(D25,D$22:D24,1,0))</f>
        <v>#N/A</v>
      </c>
      <c r="F25" s="229">
        <f t="shared" si="0"/>
        <v>0.06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BRm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5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12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Fissidens crassipes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1294</v>
      </c>
      <c r="R25" s="219">
        <f t="shared" si="2"/>
        <v>0.06</v>
      </c>
      <c r="S25" s="220">
        <f t="shared" si="3"/>
        <v>1</v>
      </c>
      <c r="T25" s="220">
        <f t="shared" si="4"/>
        <v>12</v>
      </c>
      <c r="U25" s="220">
        <f t="shared" si="5"/>
        <v>24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FISCRA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255</v>
      </c>
    </row>
    <row r="26" spans="1:26" ht="12.75">
      <c r="A26" s="224" t="s">
        <v>83</v>
      </c>
      <c r="B26" s="225">
        <v>0</v>
      </c>
      <c r="C26" s="226">
        <v>0.01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Equisetum sp.</v>
      </c>
      <c r="E26" s="228" t="e">
        <f>IF(D26="",,VLOOKUP(D26,D$22:D25,1,0))</f>
        <v>#N/A</v>
      </c>
      <c r="F26" s="229">
        <f t="shared" si="0"/>
        <v>0.002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PTE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6</v>
      </c>
      <c r="I26" s="5">
        <f t="shared" si="1"/>
        <v>1</v>
      </c>
      <c r="J26" s="232" t="str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nc</v>
      </c>
      <c r="K26" s="232" t="str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nc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Equisetum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1383</v>
      </c>
      <c r="R26" s="219">
        <f t="shared" si="2"/>
        <v>0.002</v>
      </c>
      <c r="S26" s="220">
        <f t="shared" si="3"/>
        <v>1</v>
      </c>
      <c r="T26" s="220">
        <f t="shared" si="4"/>
        <v>0</v>
      </c>
      <c r="U26" s="220">
        <f t="shared" si="5"/>
        <v>0</v>
      </c>
      <c r="V26" s="236">
        <f t="shared" si="6"/>
        <v>0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EQUSPX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391</v>
      </c>
    </row>
    <row r="27" spans="1:26" ht="12.75">
      <c r="A27" s="224" t="s">
        <v>84</v>
      </c>
      <c r="B27" s="225">
        <v>0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Alisma plantago-aquatica</v>
      </c>
      <c r="E27" s="228" t="e">
        <f>IF(D27="",,VLOOKUP(D27,D$22:D26,1,0))</f>
        <v>#N/A</v>
      </c>
      <c r="F27" s="229">
        <f t="shared" si="0"/>
        <v>0.002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PHe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7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8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Alisma plantago-aquatica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1447</v>
      </c>
      <c r="R27" s="219">
        <f t="shared" si="2"/>
        <v>0.002</v>
      </c>
      <c r="S27" s="220">
        <f t="shared" si="3"/>
        <v>1</v>
      </c>
      <c r="T27" s="220">
        <f t="shared" si="4"/>
        <v>8</v>
      </c>
      <c r="U27" s="220">
        <f t="shared" si="5"/>
        <v>16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ALIPLA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415</v>
      </c>
    </row>
    <row r="28" spans="1:26" ht="12.75">
      <c r="A28" s="224" t="s">
        <v>85</v>
      </c>
      <c r="B28" s="225">
        <v>0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Sparganium emersum fo. brevifolium</v>
      </c>
      <c r="E28" s="228" t="e">
        <f>IF(D28="",,VLOOKUP(D28,D$22:D27,1,0))</f>
        <v>#N/A</v>
      </c>
      <c r="F28" s="229">
        <f t="shared" si="0"/>
        <v>0.002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PHy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7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13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Sparganium emersum fo. brevifolium</v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19694</v>
      </c>
      <c r="R28" s="219">
        <f t="shared" si="2"/>
        <v>0.002</v>
      </c>
      <c r="S28" s="220">
        <f t="shared" si="3"/>
        <v>1</v>
      </c>
      <c r="T28" s="220">
        <f t="shared" si="4"/>
        <v>13</v>
      </c>
      <c r="U28" s="220">
        <f t="shared" si="5"/>
        <v>26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SPAEMB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593</v>
      </c>
    </row>
    <row r="29" spans="1:26" ht="12.75">
      <c r="A29" s="224" t="s">
        <v>86</v>
      </c>
      <c r="B29" s="225">
        <v>0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Glyceria fluitans</v>
      </c>
      <c r="E29" s="228" t="e">
        <f>IF(D29="",,VLOOKUP(D29,D$22:D28,1,0))</f>
        <v>#N/A</v>
      </c>
      <c r="F29" s="229">
        <f t="shared" si="0"/>
        <v>0.002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PHe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8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14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Glyceria fluitans</v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1564</v>
      </c>
      <c r="R29" s="219">
        <f t="shared" si="2"/>
        <v>0.002</v>
      </c>
      <c r="S29" s="220">
        <f t="shared" si="3"/>
        <v>1</v>
      </c>
      <c r="T29" s="220">
        <f t="shared" si="4"/>
        <v>14</v>
      </c>
      <c r="U29" s="220">
        <f t="shared" si="5"/>
        <v>28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GLYFLU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676</v>
      </c>
    </row>
    <row r="30" spans="1:26" ht="12.75">
      <c r="A30" s="224" t="s">
        <v>87</v>
      </c>
      <c r="B30" s="225">
        <v>0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Phalaris arundinacea</v>
      </c>
      <c r="E30" s="228" t="e">
        <f>IF(D30="",,VLOOKUP(D30,D$22:D29,1,0))</f>
        <v>#N/A</v>
      </c>
      <c r="F30" s="229">
        <f t="shared" si="0"/>
        <v>0.002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PHe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8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10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Phalaris arundinacea</v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1577</v>
      </c>
      <c r="R30" s="219">
        <f t="shared" si="2"/>
        <v>0.002</v>
      </c>
      <c r="S30" s="220">
        <f t="shared" si="3"/>
        <v>1</v>
      </c>
      <c r="T30" s="220">
        <f t="shared" si="4"/>
        <v>10</v>
      </c>
      <c r="U30" s="220">
        <f t="shared" si="5"/>
        <v>10</v>
      </c>
      <c r="V30" s="236">
        <f t="shared" si="6"/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PHAARU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707</v>
      </c>
    </row>
    <row r="31" spans="1:26" ht="12.75">
      <c r="A31" s="224" t="s">
        <v>88</v>
      </c>
      <c r="B31" s="225">
        <v>0</v>
      </c>
      <c r="C31" s="226">
        <v>5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Sparganium erectum</v>
      </c>
      <c r="E31" s="228" t="e">
        <f>IF(D31="",,VLOOKUP(D31,D$22:D30,1,0))</f>
        <v>#N/A</v>
      </c>
      <c r="F31" s="229">
        <f t="shared" si="0"/>
        <v>1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PHe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8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10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Sparganium erectum</v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1671</v>
      </c>
      <c r="R31" s="219">
        <f t="shared" si="2"/>
        <v>1</v>
      </c>
      <c r="S31" s="220">
        <f t="shared" si="3"/>
        <v>3</v>
      </c>
      <c r="T31" s="220">
        <f t="shared" si="4"/>
        <v>30</v>
      </c>
      <c r="U31" s="220">
        <f t="shared" si="5"/>
        <v>30</v>
      </c>
      <c r="V31" s="236">
        <f t="shared" si="6"/>
        <v>3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SPAERE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732</v>
      </c>
    </row>
    <row r="32" spans="1:26" ht="12.75">
      <c r="A32" s="224" t="s">
        <v>89</v>
      </c>
      <c r="B32" s="225">
        <v>0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Veronica anagallis-aquatica</v>
      </c>
      <c r="E32" s="228" t="e">
        <f>IF(D32="",,VLOOKUP(D32,D$22:D31,1,0))</f>
        <v>#N/A</v>
      </c>
      <c r="F32" s="229">
        <f t="shared" si="0"/>
        <v>0.002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PHe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8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11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2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Veronica anagallis-aquatica</v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1955</v>
      </c>
      <c r="R32" s="219">
        <f t="shared" si="2"/>
        <v>0.002</v>
      </c>
      <c r="S32" s="220">
        <f t="shared" si="3"/>
        <v>1</v>
      </c>
      <c r="T32" s="220">
        <f t="shared" si="4"/>
        <v>11</v>
      </c>
      <c r="U32" s="220">
        <f t="shared" si="5"/>
        <v>22</v>
      </c>
      <c r="V32" s="236">
        <f t="shared" si="6"/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VERANA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740</v>
      </c>
    </row>
    <row r="33" spans="1:26" ht="12.75">
      <c r="A33" s="224" t="s">
        <v>90</v>
      </c>
      <c r="B33" s="225">
        <v>0</v>
      </c>
      <c r="C33" s="226">
        <v>0.01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Juncus sp.</v>
      </c>
      <c r="E33" s="228" t="e">
        <f>IF(D33="",,VLOOKUP(D33,D$22:D32,1,0))</f>
        <v>#N/A</v>
      </c>
      <c r="F33" s="229">
        <f t="shared" si="0"/>
        <v>0.002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PHg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9</v>
      </c>
      <c r="I33" s="5">
        <f t="shared" si="1"/>
        <v>1</v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nc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nc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Juncus sp.</v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1606</v>
      </c>
      <c r="R33" s="219">
        <f t="shared" si="2"/>
        <v>0.002</v>
      </c>
      <c r="S33" s="220">
        <f t="shared" si="3"/>
        <v>1</v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JUNSPX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881</v>
      </c>
    </row>
    <row r="34" spans="1:26" ht="12.75">
      <c r="A34" s="224" t="s">
        <v>91</v>
      </c>
      <c r="B34" s="225">
        <v>0</v>
      </c>
      <c r="C34" s="226">
        <v>0.01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Lysimachia vulgaris</v>
      </c>
      <c r="E34" s="228" t="e">
        <f>IF(D34="",,VLOOKUP(D34,D$22:D33,1,0))</f>
        <v>#N/A</v>
      </c>
      <c r="F34" s="229">
        <f t="shared" si="0"/>
        <v>0.002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PHg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9</v>
      </c>
      <c r="I34" s="5">
        <f t="shared" si="1"/>
        <v>1</v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nc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nc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Lysimachia vulgaris</v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1887</v>
      </c>
      <c r="R34" s="219">
        <f t="shared" si="2"/>
        <v>0.002</v>
      </c>
      <c r="S34" s="220">
        <f t="shared" si="3"/>
        <v>1</v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LYSVUL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899</v>
      </c>
    </row>
    <row r="35" spans="1:26" ht="12.75">
      <c r="A35" s="224" t="s">
        <v>92</v>
      </c>
      <c r="B35" s="225">
        <v>0</v>
      </c>
      <c r="C35" s="226">
        <v>0.01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Scirpoides holoschoenus</v>
      </c>
      <c r="E35" s="228" t="e">
        <f>IF(D35="",,VLOOKUP(D35,D$22:D34,1,0))</f>
        <v>#N/A</v>
      </c>
      <c r="F35" s="229">
        <f t="shared" si="0"/>
        <v>0.002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PHg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9</v>
      </c>
      <c r="I35" s="5">
        <f t="shared" si="1"/>
        <v>1</v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nc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nc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Scirpoides holoschoenus</v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19685</v>
      </c>
      <c r="R35" s="219">
        <f t="shared" si="2"/>
        <v>0.002</v>
      </c>
      <c r="S35" s="220">
        <f t="shared" si="3"/>
        <v>1</v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SCPHOL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961</v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26.07799999999999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22</v>
      </c>
      <c r="W83" s="220"/>
      <c r="X83" s="258"/>
      <c r="Y83" s="258"/>
      <c r="Z83" s="259"/>
    </row>
    <row r="84" spans="1:26" ht="12.75" hidden="1">
      <c r="A84" s="253" t="str">
        <f>A3</f>
        <v>ROUBION</v>
      </c>
      <c r="B84" s="187" t="str">
        <f>C3</f>
        <v>ROUBION A MONTELIMAR</v>
      </c>
      <c r="C84" s="260" t="str">
        <f>A4</f>
        <v>(Date)</v>
      </c>
      <c r="D84" s="261">
        <f>IF(OR(ISERROR(SUM($U$23:$U$82)/SUM($V$23:$V$82)),F7&lt;&gt;100),-1,SUM($U$23:$U$82)/SUM($V$23:$V$82))</f>
        <v>10.363636363636363</v>
      </c>
      <c r="E84" s="262">
        <f>O13</f>
        <v>13</v>
      </c>
      <c r="F84" s="187">
        <f>O14</f>
        <v>9</v>
      </c>
      <c r="G84" s="187">
        <f>O15</f>
        <v>3</v>
      </c>
      <c r="H84" s="187">
        <f>O16</f>
        <v>6</v>
      </c>
      <c r="I84" s="187">
        <f>O17</f>
        <v>0</v>
      </c>
      <c r="J84" s="263">
        <f>O8</f>
        <v>10.666666666666666</v>
      </c>
      <c r="K84" s="264">
        <f>O9</f>
        <v>2.3570226039551585</v>
      </c>
      <c r="L84" s="265">
        <f>O10</f>
        <v>6</v>
      </c>
      <c r="M84" s="265">
        <f>O11</f>
        <v>14</v>
      </c>
      <c r="N84" s="264">
        <f>P8</f>
        <v>1.6666666666666667</v>
      </c>
      <c r="O84" s="264">
        <f>P9</f>
        <v>0.4714045207910317</v>
      </c>
      <c r="P84" s="265">
        <f>P10</f>
        <v>1</v>
      </c>
      <c r="Q84" s="265">
        <f>P11</f>
        <v>2</v>
      </c>
      <c r="R84" s="265">
        <f>F21</f>
        <v>26.078</v>
      </c>
      <c r="S84" s="265">
        <f>L11</f>
        <v>0</v>
      </c>
      <c r="T84" s="265">
        <f>L12</f>
        <v>2</v>
      </c>
      <c r="U84" s="265">
        <f>L13</f>
        <v>1</v>
      </c>
      <c r="V84" s="266">
        <f>L15</f>
        <v>9</v>
      </c>
      <c r="W84" s="267">
        <f>L15</f>
        <v>9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93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94</v>
      </c>
      <c r="S87" s="5"/>
      <c r="T87" s="272">
        <f>VLOOKUP($T$91,($A$23:$U$82),20,FALSE)</f>
        <v>24</v>
      </c>
      <c r="U87" s="5"/>
      <c r="V87" s="5"/>
    </row>
    <row r="88" spans="3:22" ht="12.75" hidden="1">
      <c r="C88" s="269"/>
      <c r="D88" s="269"/>
      <c r="E88" s="269"/>
      <c r="R88" s="5" t="s">
        <v>95</v>
      </c>
      <c r="S88" s="5"/>
      <c r="T88" s="272">
        <f>VLOOKUP($T$91,($A$23:$U$82),21,FALSE)</f>
        <v>24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96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97</v>
      </c>
      <c r="S90" s="5" t="s">
        <v>10</v>
      </c>
      <c r="T90" s="273">
        <f>IF(OR(ISERROR(SUM($U$23:$U$82)/SUM($V$23:$V$82)),F7&lt;&gt;100),-1,(SUM($U$23:$U$82)-T88)/(SUM($V$23:$V$82)-T89))</f>
        <v>11.333333333333334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98</v>
      </c>
      <c r="S91" s="220"/>
      <c r="T91" s="220" t="str">
        <f>INDEX('[1]liste reference'!$A$6:$A$1174,$U$91)</f>
        <v>CLASPX</v>
      </c>
      <c r="U91" s="5">
        <f>IF(ISERROR(MATCH($T$93,'[1]liste reference'!$A$6:$A$1174,0)),MATCH($T$93,'[1]liste reference'!$B$6:$B$1174,0),(MATCH($T$93,'[1]liste reference'!$A$6:$A$1174,0)))</f>
        <v>35</v>
      </c>
      <c r="V91" s="274"/>
    </row>
    <row r="92" spans="3:21" ht="12.75" hidden="1">
      <c r="C92" s="269"/>
      <c r="D92" s="269"/>
      <c r="E92" s="269"/>
      <c r="R92" s="5" t="s">
        <v>99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100</v>
      </c>
      <c r="S93" s="5"/>
      <c r="T93" s="220" t="str">
        <f>INDEX($A$23:$A$82,$T$92)</f>
        <v>CLASPX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2015-12-28T14:26:30Z</dcterms:created>
  <dcterms:modified xsi:type="dcterms:W3CDTF">2015-12-28T14:26:43Z</dcterms:modified>
  <cp:category/>
  <cp:version/>
  <cp:contentType/>
  <cp:contentStatus/>
</cp:coreProperties>
</file>