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<sst xmlns="http://schemas.openxmlformats.org/spreadsheetml/2006/main" count="217" uniqueCount="98">
  <si>
    <t>Relevés floristiques aquatiques - IBMR</t>
  </si>
  <si>
    <t>modèle Irstea-GIS</t>
  </si>
  <si>
    <t>SAGE ENVIRONNEMENT</t>
  </si>
  <si>
    <t>PBELLY MSCHNNEIDER</t>
  </si>
  <si>
    <t>GUIERS VIF</t>
  </si>
  <si>
    <t>GUIERS VIF AUX ECHELLES</t>
  </si>
  <si>
    <t>06580559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</si>
  <si>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</si>
  <si>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</si>
  <si>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</si>
  <si>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</si>
  <si>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</si>
  <si>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</si>
  <si>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</si>
  <si>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</si>
  <si>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</si>
  <si>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</si>
  <si>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</si>
  <si>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radier</t>
  </si>
  <si>
    <t>f. de dissipation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</si>
  <si>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</si>
  <si>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</si>
  <si>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</si>
  <si>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</si>
  <si>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</si>
  <si>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</si>
  <si>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</si>
  <si>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</si>
  <si>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</si>
  <si>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</si>
  <si>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</si>
  <si>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</si>
  <si>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</si>
  <si>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</si>
  <si>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</si>
  <si>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</si>
  <si>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</si>
  <si>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</si>
  <si>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</si>
  <si>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</si>
  <si>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</si>
  <si>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</si>
  <si>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</si>
  <si>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</si>
  <si>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</si>
  <si>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</si>
  <si>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</si>
  <si>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</si>
  <si>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</si>
  <si>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</si>
  <si>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</si>
  <si>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</si>
  <si>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</si>
  <si>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</si>
  <si>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</si>
  <si>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</si>
  <si>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</si>
  <si>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</si>
  <si>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</si>
  <si>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</si>
  <si>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</si>
  <si>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</si>
  <si>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</si>
  <si>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</si>
  <si>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</si>
  <si>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</si>
  <si>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</si>
  <si>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</si>
  <si>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</si>
  <si>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</si>
  <si>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</si>
  <si>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</si>
  <si>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</si>
  <si>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</si>
  <si>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</si>
  <si>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</si>
  <si>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</si>
  <si>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</si>
  <si>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</si>
  <si>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</si>
  <si>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</si>
  <si>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</si>
  <si>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LEASPX</t>
  </si>
  <si>
    <t>VAUSPX</t>
  </si>
  <si>
    <t>BRARIV</t>
  </si>
  <si>
    <t>CINAQU</t>
  </si>
  <si>
    <t>CINRIP</t>
  </si>
  <si>
    <t>FONANT</t>
  </si>
  <si>
    <t>LEORIP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</si>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</sst>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UIVI_30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L15" sqref="L15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11.411764705882353</v>
      </c>
      <c r="N5" s="50"/>
      <c r="O5" s="51" t="s">
        <v>16</v>
      </c>
      <c r="P5" s="52">
        <v>10.8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7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70</v>
      </c>
      <c r="C7" s="68">
        <v>30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11.1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0.56</v>
      </c>
      <c r="C9" s="88">
        <v>0.87</v>
      </c>
      <c r="D9" s="89"/>
      <c r="E9" s="89"/>
      <c r="F9" s="90">
        <f>($B9*$B$7+$C9*$C$7)/100</f>
        <v>0.6530000000000001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4.346262762420146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0.51</v>
      </c>
      <c r="C12" s="114">
        <v>0.74</v>
      </c>
      <c r="D12" s="89"/>
      <c r="E12" s="89"/>
      <c r="F12" s="106">
        <f>($B12*$B$7+$C12*$C$7)/100</f>
        <v>0.5790000000000001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0.05</v>
      </c>
      <c r="C13" s="114">
        <v>0.13</v>
      </c>
      <c r="D13" s="89"/>
      <c r="E13" s="89"/>
      <c r="F13" s="106">
        <f>($B13*$B$7+$C13*$C$7)/100</f>
        <v>0.07400000000000001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6</v>
      </c>
      <c r="M13" s="111"/>
      <c r="N13" s="120" t="s">
        <v>41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10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6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0.56</v>
      </c>
      <c r="C17" s="114">
        <v>0.87</v>
      </c>
      <c r="D17" s="89"/>
      <c r="E17" s="89"/>
      <c r="F17" s="133"/>
      <c r="G17" s="134">
        <f>($B17*$B$7+$C17*$C$7)/100</f>
        <v>0.6530000000000001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0.653</v>
      </c>
      <c r="G19" s="157">
        <f>SUM(G16:G18)</f>
        <v>0.6530000000000001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0.56</v>
      </c>
      <c r="C20" s="167">
        <f>SUM(C23:C62)</f>
        <v>0.87</v>
      </c>
      <c r="D20" s="168"/>
      <c r="E20" s="169" t="s">
        <v>54</v>
      </c>
      <c r="F20" s="170">
        <f>($B20*$B$7+$C20*$C$7)/100</f>
        <v>0.6530000000000001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0.392</v>
      </c>
      <c r="C21" s="178">
        <f>C20*C7/100</f>
        <v>0.261</v>
      </c>
      <c r="D21" s="179" t="s">
        <v>58</v>
      </c>
      <c r="E21" s="180"/>
      <c r="F21" s="181">
        <f>B21+C21</f>
        <v>0.653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0.003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0.003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0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Hydrurus sp.</v>
      </c>
      <c r="E24" s="228" t="e">
        <f>IF(D24="",,VLOOKUP(D24,D$22:D23,1,0))</f>
        <v>#N/A</v>
      </c>
      <c r="F24" s="229">
        <f t="shared" si="0"/>
        <v>0.003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Hydrurus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6183</v>
      </c>
      <c r="R24" s="219">
        <f t="shared" si="2"/>
        <v>0.003</v>
      </c>
      <c r="S24" s="220">
        <f t="shared" si="3"/>
        <v>1</v>
      </c>
      <c r="T24" s="220">
        <f t="shared" si="4"/>
        <v>16</v>
      </c>
      <c r="U24" s="220">
        <f t="shared" si="5"/>
        <v>32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HYUSPX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56</v>
      </c>
    </row>
    <row r="25" spans="1:26" ht="12.75">
      <c r="A25" s="224" t="s">
        <v>82</v>
      </c>
      <c r="B25" s="225">
        <v>0.01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Lemanea sp.</v>
      </c>
      <c r="E25" s="228" t="e">
        <f>IF(D25="",,VLOOKUP(D25,D$22:D24,1,0))</f>
        <v>#N/A</v>
      </c>
      <c r="F25" s="229">
        <f t="shared" si="0"/>
        <v>0.007000000000000001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Lemanea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1159</v>
      </c>
      <c r="R25" s="219">
        <f t="shared" si="2"/>
        <v>0.007000000000000001</v>
      </c>
      <c r="S25" s="220">
        <f t="shared" si="3"/>
        <v>1</v>
      </c>
      <c r="T25" s="220">
        <f t="shared" si="4"/>
        <v>15</v>
      </c>
      <c r="U25" s="220">
        <f t="shared" si="5"/>
        <v>30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LEASPX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59</v>
      </c>
    </row>
    <row r="26" spans="1:26" ht="12.75">
      <c r="A26" s="224" t="s">
        <v>83</v>
      </c>
      <c r="B26" s="225">
        <v>0.5</v>
      </c>
      <c r="C26" s="226">
        <v>0.72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Vaucheria sp.</v>
      </c>
      <c r="E26" s="228" t="e">
        <f>IF(D26="",,VLOOKUP(D26,D$22:D25,1,0))</f>
        <v>#N/A</v>
      </c>
      <c r="F26" s="229">
        <f t="shared" si="0"/>
        <v>0.566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4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Vaucheria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1169</v>
      </c>
      <c r="R26" s="219">
        <f t="shared" si="2"/>
        <v>0.566</v>
      </c>
      <c r="S26" s="220">
        <f t="shared" si="3"/>
        <v>2</v>
      </c>
      <c r="T26" s="220">
        <f t="shared" si="4"/>
        <v>8</v>
      </c>
      <c r="U26" s="220">
        <f t="shared" si="5"/>
        <v>8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VAUSPX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118</v>
      </c>
    </row>
    <row r="27" spans="1:26" ht="12.75">
      <c r="A27" s="224" t="s">
        <v>84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Brachythecium rivulare</v>
      </c>
      <c r="E27" s="228" t="e">
        <f>IF(D27="",,VLOOKUP(D27,D$22:D26,1,0))</f>
        <v>#N/A</v>
      </c>
      <c r="F27" s="229">
        <f t="shared" si="0"/>
        <v>0.003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Brachythecium rivulare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1260</v>
      </c>
      <c r="R27" s="219">
        <f t="shared" si="2"/>
        <v>0.003</v>
      </c>
      <c r="S27" s="220">
        <f t="shared" si="3"/>
        <v>1</v>
      </c>
      <c r="T27" s="220">
        <f t="shared" si="4"/>
        <v>15</v>
      </c>
      <c r="U27" s="220">
        <f t="shared" si="5"/>
        <v>30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BRARIV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203</v>
      </c>
    </row>
    <row r="28" spans="1:26" ht="12.75">
      <c r="A28" s="224" t="s">
        <v>85</v>
      </c>
      <c r="B28" s="225">
        <v>0.01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Cinclidotus aquaticus</v>
      </c>
      <c r="E28" s="228" t="e">
        <f>IF(D28="",,VLOOKUP(D28,D$22:D27,1,0))</f>
        <v>#N/A</v>
      </c>
      <c r="F28" s="229">
        <f t="shared" si="0"/>
        <v>0.01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15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Cinclidotus aquaticus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1318</v>
      </c>
      <c r="R28" s="219">
        <f t="shared" si="2"/>
        <v>0.010000000000000002</v>
      </c>
      <c r="S28" s="220">
        <f t="shared" si="3"/>
        <v>1</v>
      </c>
      <c r="T28" s="220">
        <f t="shared" si="4"/>
        <v>15</v>
      </c>
      <c r="U28" s="220">
        <f t="shared" si="5"/>
        <v>30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CINAQU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221</v>
      </c>
    </row>
    <row r="29" spans="1:26" ht="12.75">
      <c r="A29" s="224" t="s">
        <v>86</v>
      </c>
      <c r="B29" s="225">
        <v>0.01</v>
      </c>
      <c r="C29" s="226">
        <v>0.1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Cinclidotus riparius</v>
      </c>
      <c r="E29" s="228" t="e">
        <f>IF(D29="",,VLOOKUP(D29,D$22:D28,1,0))</f>
        <v>#N/A</v>
      </c>
      <c r="F29" s="229">
        <f t="shared" si="0"/>
        <v>0.037000000000000005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13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Cinclidotus riparius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1321</v>
      </c>
      <c r="R29" s="219">
        <f t="shared" si="2"/>
        <v>0.037</v>
      </c>
      <c r="S29" s="220">
        <f t="shared" si="3"/>
        <v>1</v>
      </c>
      <c r="T29" s="220">
        <f t="shared" si="4"/>
        <v>13</v>
      </c>
      <c r="U29" s="220">
        <f t="shared" si="5"/>
        <v>26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CINRIP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224</v>
      </c>
    </row>
    <row r="30" spans="1:26" ht="12.75">
      <c r="A30" s="224" t="s">
        <v>87</v>
      </c>
      <c r="B30" s="225">
        <v>0.01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Fontinalis antipyretica</v>
      </c>
      <c r="E30" s="228" t="e">
        <f>IF(D30="",,VLOOKUP(D30,D$22:D29,1,0))</f>
        <v>#N/A</v>
      </c>
      <c r="F30" s="229">
        <f t="shared" si="0"/>
        <v>0.01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Fontinalis antipyretica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1310</v>
      </c>
      <c r="R30" s="219">
        <f t="shared" si="2"/>
        <v>0.010000000000000002</v>
      </c>
      <c r="S30" s="220">
        <f t="shared" si="3"/>
        <v>1</v>
      </c>
      <c r="T30" s="220">
        <f t="shared" si="4"/>
        <v>10</v>
      </c>
      <c r="U30" s="220">
        <f t="shared" si="5"/>
        <v>10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FONANT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273</v>
      </c>
    </row>
    <row r="31" spans="1:26" ht="12.75">
      <c r="A31" s="224" t="s">
        <v>88</v>
      </c>
      <c r="B31" s="225">
        <v>0.01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Leptodictyum riparium </v>
      </c>
      <c r="E31" s="228" t="e">
        <f>IF(D31="",,VLOOKUP(D31,D$22:D30,1,0))</f>
        <v>#N/A</v>
      </c>
      <c r="F31" s="229">
        <f t="shared" si="0"/>
        <v>0.007000000000000001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5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Leptodictyum riparium 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1244</v>
      </c>
      <c r="R31" s="219">
        <f t="shared" si="2"/>
        <v>0.007000000000000001</v>
      </c>
      <c r="S31" s="220">
        <f t="shared" si="3"/>
        <v>1</v>
      </c>
      <c r="T31" s="220">
        <f t="shared" si="4"/>
        <v>5</v>
      </c>
      <c r="U31" s="220">
        <f t="shared" si="5"/>
        <v>10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LEORIP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298</v>
      </c>
    </row>
    <row r="32" spans="1:26" ht="12.75">
      <c r="A32" s="224" t="s">
        <v>89</v>
      </c>
      <c r="B32" s="225">
        <v>0.01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Rhynchostegium riparioides</v>
      </c>
      <c r="E32" s="228" t="e">
        <f>IF(D32="",,VLOOKUP(D32,D$22:D31,1,0))</f>
        <v>#N/A</v>
      </c>
      <c r="F32" s="229">
        <f t="shared" si="0"/>
        <v>0.007000000000000001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Rhynchostegium riparioides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31691</v>
      </c>
      <c r="R32" s="219">
        <f t="shared" si="2"/>
        <v>0.007000000000000001</v>
      </c>
      <c r="S32" s="220">
        <f t="shared" si="3"/>
        <v>1</v>
      </c>
      <c r="T32" s="220">
        <f t="shared" si="4"/>
        <v>12</v>
      </c>
      <c r="U32" s="220">
        <f t="shared" si="5"/>
        <v>12</v>
      </c>
      <c r="V32" s="236">
        <f t="shared" si="6"/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RHYRIP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345</v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0.653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17</v>
      </c>
      <c r="W83" s="220"/>
      <c r="X83" s="258"/>
      <c r="Y83" s="258"/>
      <c r="Z83" s="259"/>
    </row>
    <row r="84" spans="1:26" ht="12.75" hidden="1">
      <c r="A84" s="253" t="str">
        <f>A3</f>
        <v>GUIERS VIF</v>
      </c>
      <c r="B84" s="187" t="str">
        <f>C3</f>
        <v>GUIERS VIF AUX ECHELLES</v>
      </c>
      <c r="C84" s="260" t="str">
        <f>A4</f>
        <v>(Date)</v>
      </c>
      <c r="D84" s="261">
        <f>IF(OR(ISERROR(SUM($U$23:$U$82)/SUM($V$23:$V$82)),F7&lt;&gt;100),-1,SUM($U$23:$U$82)/SUM($V$23:$V$82))</f>
        <v>11.411764705882353</v>
      </c>
      <c r="E84" s="262">
        <f>O13</f>
        <v>10</v>
      </c>
      <c r="F84" s="187">
        <f>O14</f>
        <v>10</v>
      </c>
      <c r="G84" s="187">
        <f>O15</f>
        <v>4</v>
      </c>
      <c r="H84" s="187">
        <f>O16</f>
        <v>6</v>
      </c>
      <c r="I84" s="187">
        <f>O17</f>
        <v>0</v>
      </c>
      <c r="J84" s="263">
        <f>O8</f>
        <v>11.1</v>
      </c>
      <c r="K84" s="264">
        <f>O9</f>
        <v>4.346262762420146</v>
      </c>
      <c r="L84" s="265">
        <f>O10</f>
        <v>4</v>
      </c>
      <c r="M84" s="265">
        <f>O11</f>
        <v>16</v>
      </c>
      <c r="N84" s="264">
        <f>P8</f>
        <v>1.6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0.653</v>
      </c>
      <c r="S84" s="265">
        <f>L11</f>
        <v>0</v>
      </c>
      <c r="T84" s="265">
        <f>L12</f>
        <v>4</v>
      </c>
      <c r="U84" s="265">
        <f>L13</f>
        <v>6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16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32</v>
      </c>
      <c r="U88" s="5"/>
      <c r="V88" s="5">
        <f>COUNTIF(V23:V82,T89)</f>
        <v>7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10.8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HYUSPX</v>
      </c>
      <c r="U91" s="5">
        <f>IF(ISERROR(MATCH($T$93,'[1]liste reference'!$A$6:$A$1174,0)),MATCH($T$93,'[1]liste reference'!$B$6:$B$1174,0),(MATCH($T$93,'[1]liste reference'!$A$6:$A$1174,0)))</f>
        <v>56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HYUSPX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2016-03-01T11:59:40Z</dcterms:created>
  <dcterms:modified xsi:type="dcterms:W3CDTF">2016-03-01T11:59:42Z</dcterms:modified>
  <cp:category/>
  <cp:version/>
  <cp:contentType/>
  <cp:contentStatus/>
</cp:coreProperties>
</file>