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<sst xmlns="http://schemas.openxmlformats.org/spreadsheetml/2006/main" count="110" uniqueCount="107">
  <si>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</si>
  <si>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</si>
  <si>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</si>
  <si>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CBERNARD LISEBE</t>
  </si>
  <si>
    <t xml:space="preserve">conforme AFNOR T90-395 oct. 2003</t>
  </si>
  <si>
    <t xml:space="preserve">SURAN</t>
  </si>
  <si>
    <t xml:space="preserve">NEUVILLE SUR AIN </t>
  </si>
  <si>
    <t xml:space="preserve">06580653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</si>
  <si>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</si>
  <si>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</si>
  <si>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</si>
  <si>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</si>
  <si>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</si>
  <si>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</si>
  <si>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</si>
  <si>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</si>
  <si>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</si>
  <si>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</si>
  <si>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</si>
  <si>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</si>
  <si>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</si>
  <si>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</si>
  <si>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</si>
  <si>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</si>
  <si>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</si>
  <si>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</si>
  <si>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</si>
  <si>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</si>
  <si>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</si>
  <si>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</si>
  <si>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</si>
  <si>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</si>
  <si>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</si>
  <si>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</si>
  <si>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</si>
  <si>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</si>
  <si>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</si>
  <si>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</si>
  <si>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</si>
  <si>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</si>
  <si>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</si>
  <si>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</si>
  <si>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</si>
  <si>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</si>
  <si>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</si>
  <si>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</si>
  <si>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</si>
  <si>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</si>
  <si>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</si>
  <si>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</si>
  <si>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</si>
  <si>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</si>
  <si>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</si>
  <si>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</si>
  <si>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</si>
  <si>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</si>
  <si>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</si>
  <si>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</si>
  <si>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</si>
  <si>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</si>
  <si>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</si>
  <si>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</si>
  <si>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</si>
  <si>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</si>
  <si>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</si>
  <si>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</si>
  <si>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</si>
  <si>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</si>
  <si>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</si>
  <si>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</si>
  <si>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</si>
  <si>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</si>
  <si>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</si>
  <si>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</si>
  <si>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</si>
  <si>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</si>
  <si>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</si>
  <si>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</si>
  <si>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</si>
  <si>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MICSPX</t>
  </si>
  <si>
    <t xml:space="preserve">OEDSPX</t>
  </si>
  <si>
    <t xml:space="preserve">VAUSPX</t>
  </si>
  <si>
    <t xml:space="preserve">AMBRIP</t>
  </si>
  <si>
    <t xml:space="preserve">CINDAN</t>
  </si>
  <si>
    <t xml:space="preserve">FONANT</t>
  </si>
  <si>
    <t xml:space="preserve">RHYRIP</t>
  </si>
  <si>
    <t xml:space="preserve">MYRSPI</t>
  </si>
  <si>
    <t xml:space="preserve">NUPLUT</t>
  </si>
  <si>
    <t xml:space="preserve">POTPER</t>
  </si>
  <si>
    <t xml:space="preserve">RANFLU</t>
  </si>
  <si>
    <t xml:space="preserve">CARSPX</t>
  </si>
  <si>
    <t xml:space="preserve">GLYFLU</t>
  </si>
  <si>
    <t xml:space="preserve">JUNSPX</t>
  </si>
  <si>
    <t xml:space="preserve">LYTSAL</t>
  </si>
  <si>
    <t xml:space="preserve">MENAQU</t>
  </si>
  <si>
    <t xml:space="preserve">PHAARU</t>
  </si>
  <si>
    <t xml:space="preserve">SCILAC</t>
  </si>
  <si>
    <t xml:space="preserve">VERANA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</si>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</sst>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3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3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SURNE_28-06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41088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9.38666666666667</v>
      </c>
      <c r="M5" s="53"/>
      <c r="N5" s="54"/>
      <c r="O5" s="55" t="n">
        <v>8.6984126984127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50</v>
      </c>
      <c r="C7" s="67" t="n">
        <v>50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9.35294117647059</v>
      </c>
      <c r="O8" s="83" t="n">
        <f aca="false">AVERAGE(J23:J82)</f>
        <v>1.64705882352941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70</v>
      </c>
      <c r="C9" s="86" t="n">
        <v>90</v>
      </c>
      <c r="D9" s="87"/>
      <c r="E9" s="87"/>
      <c r="F9" s="88" t="n">
        <f aca="false">($B9*$B$7+$C9*$C$7)/100</f>
        <v>80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2.89268855199165</v>
      </c>
      <c r="O9" s="83" t="n">
        <f aca="false">STDEV(J23:J82)</f>
        <v>0.606339062590833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14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25</v>
      </c>
      <c r="C12" s="118" t="n">
        <v>85</v>
      </c>
      <c r="D12" s="110"/>
      <c r="E12" s="110"/>
      <c r="F12" s="111" t="n">
        <f aca="false">($B12*$B$7+$C12*$C$7)/100</f>
        <v>55</v>
      </c>
      <c r="G12" s="119"/>
      <c r="H12" s="68"/>
      <c r="I12" s="120" t="s">
        <v>37</v>
      </c>
      <c r="J12" s="120"/>
      <c r="K12" s="114" t="n">
        <f aca="false">COUNTIF($G$23:$G$82,"=ALG")</f>
        <v>4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50</v>
      </c>
      <c r="C13" s="118" t="n">
        <v>45</v>
      </c>
      <c r="D13" s="110"/>
      <c r="E13" s="110"/>
      <c r="F13" s="111" t="n">
        <f aca="false">($B13*$B$7+$C13*$C$7)/100</f>
        <v>47.5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4</v>
      </c>
      <c r="L13" s="115"/>
      <c r="M13" s="126" t="s">
        <v>40</v>
      </c>
      <c r="N13" s="127" t="n">
        <f aca="false">COUNTIF(F23:F82,"&gt;0")</f>
        <v>20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17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 t="n">
        <v>15</v>
      </c>
      <c r="C15" s="135" t="n">
        <v>40</v>
      </c>
      <c r="D15" s="110"/>
      <c r="E15" s="110"/>
      <c r="F15" s="111" t="n">
        <f aca="false">($B15*$B$7+$C15*$C$7)/100</f>
        <v>27.5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12</v>
      </c>
      <c r="L15" s="115"/>
      <c r="M15" s="136" t="s">
        <v>46</v>
      </c>
      <c r="N15" s="137" t="n">
        <f aca="false">COUNTIF(J23:J82,"=1")</f>
        <v>7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 t="n">
        <v>1</v>
      </c>
      <c r="C16" s="109" t="n">
        <v>1</v>
      </c>
      <c r="D16" s="139"/>
      <c r="E16" s="139"/>
      <c r="F16" s="140"/>
      <c r="G16" s="140" t="n">
        <f aca="false">($B16*$B$7+$C16*$C$7)/100</f>
        <v>1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9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70</v>
      </c>
      <c r="C17" s="118" t="n">
        <v>85</v>
      </c>
      <c r="D17" s="110"/>
      <c r="E17" s="110"/>
      <c r="F17" s="142"/>
      <c r="G17" s="111" t="n">
        <f aca="false">($B17*$B$7+$C17*$C$7)/100</f>
        <v>77.5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1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 t="n">
        <v>0.1</v>
      </c>
      <c r="C18" s="145" t="n">
        <v>37</v>
      </c>
      <c r="D18" s="110"/>
      <c r="E18" s="146" t="s">
        <v>52</v>
      </c>
      <c r="F18" s="142"/>
      <c r="G18" s="111" t="n">
        <f aca="false">($B18*$B$7+$C18*$C$7)/100</f>
        <v>18.55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 t="s">
        <v>53</v>
      </c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130</v>
      </c>
      <c r="G19" s="155" t="n">
        <f aca="false">SUM(G16:G18)</f>
        <v>97.05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 t="s">
        <v>54</v>
      </c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92.31</v>
      </c>
      <c r="C20" s="165" t="n">
        <f aca="false">SUM(C23:C82)</f>
        <v>179.09</v>
      </c>
      <c r="D20" s="166"/>
      <c r="E20" s="167" t="s">
        <v>52</v>
      </c>
      <c r="F20" s="168" t="n">
        <f aca="false">($B20*$B$7+$C20*$C$7)/100</f>
        <v>135.7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46.155</v>
      </c>
      <c r="C21" s="178" t="n">
        <f aca="false">C20*C7/100</f>
        <v>89.545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135.7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</v>
      </c>
      <c r="C23" s="205" t="n">
        <v>12.8</v>
      </c>
      <c r="D23" s="206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6" t="e">
        <f aca="false">IF(D23="",0,VLOOKUP(D23,D$22:D22,1,0))</f>
        <v>#N/A</v>
      </c>
      <c r="F23" s="207" t="n">
        <f aca="false">($B23*$B$7+$C23*$C$7)/100</f>
        <v>6.4</v>
      </c>
      <c r="G23" s="208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9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10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1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2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3"/>
      <c r="M23" s="213"/>
      <c r="N23" s="213"/>
      <c r="O23" s="214" t="str">
        <f aca="false">IF(AA23="Cf.","Cf.","")</f>
        <v/>
      </c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6.4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18</v>
      </c>
      <c r="T23" s="216" t="n">
        <f aca="false">IF(ISERROR(R23*I23*J23),0,R23*I23*J23)</f>
        <v>18</v>
      </c>
      <c r="U23" s="216" t="n">
        <f aca="false">IF(ISERROR(R23*J23),0,R23*J23)</f>
        <v>3</v>
      </c>
      <c r="V23" s="217" t="n">
        <v>3</v>
      </c>
      <c r="W23" s="218"/>
      <c r="X23" s="218"/>
      <c r="Y23" s="219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20"/>
      <c r="AB23" s="221"/>
      <c r="AC23" s="221"/>
      <c r="BC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</v>
      </c>
      <c r="C24" s="224" t="n">
        <v>0.4</v>
      </c>
      <c r="D24" s="225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Microspora sp.</v>
      </c>
      <c r="E24" s="225" t="e">
        <f aca="false">IF(D24="",0,VLOOKUP(D24,D$22:D23,1,0))</f>
        <v>#N/A</v>
      </c>
      <c r="F24" s="226" t="n">
        <f aca="false">($B24*$B$7+$C24*$C$7)/100</f>
        <v>0.2</v>
      </c>
      <c r="G24" s="227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9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8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12</v>
      </c>
      <c r="J24" s="211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2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Microspora sp.</v>
      </c>
      <c r="L24" s="229"/>
      <c r="M24" s="229"/>
      <c r="N24" s="229"/>
      <c r="O24" s="214" t="str">
        <f aca="false">IF(AA24="Cf.","Cf.","")</f>
        <v/>
      </c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1132</v>
      </c>
      <c r="Q24" s="215" t="n">
        <f aca="false">IF(ISTEXT(H24),"",(B24*$B$7/100)+(C24*$C$7/100))</f>
        <v>0.2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24</v>
      </c>
      <c r="T24" s="216" t="n">
        <f aca="false">IF(ISERROR(R24*I24*J24),0,R24*I24*J24)</f>
        <v>48</v>
      </c>
      <c r="U24" s="230" t="n">
        <f aca="false">IF(ISERROR(R24*J24),0,R24*J24)</f>
        <v>4</v>
      </c>
      <c r="V24" s="217" t="n">
        <v>4</v>
      </c>
      <c r="W24" s="231"/>
      <c r="Y24" s="219" t="str">
        <f aca="false">IF(A24="new.cod","NEWCOD",IF(AND((Z24=""),ISTEXT(A24)),A24,IF(Z24="","",INDEX('[1]liste reference'!$A$7:$A$892,Z24))))</f>
        <v>MICSPX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466</v>
      </c>
      <c r="AA24" s="220"/>
      <c r="AB24" s="221"/>
      <c r="AC24" s="221"/>
      <c r="BC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</v>
      </c>
      <c r="C25" s="224" t="n">
        <v>0.8</v>
      </c>
      <c r="D25" s="225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Oedogonium sp.</v>
      </c>
      <c r="E25" s="225" t="e">
        <f aca="false">IF(D25="",0,VLOOKUP(D25,D$22:D24,1,0))</f>
        <v>#N/A</v>
      </c>
      <c r="F25" s="226" t="n">
        <f aca="false">($B25*$B$7+$C25*$C$7)/100</f>
        <v>0.4</v>
      </c>
      <c r="G25" s="227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9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8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6</v>
      </c>
      <c r="J25" s="211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2</v>
      </c>
      <c r="K25" s="212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Oedogonium sp.</v>
      </c>
      <c r="L25" s="229"/>
      <c r="M25" s="229"/>
      <c r="N25" s="229"/>
      <c r="O25" s="214" t="str">
        <f aca="false">IF(AA25="Cf.","Cf.","")</f>
        <v/>
      </c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1134</v>
      </c>
      <c r="Q25" s="215" t="n">
        <f aca="false">IF(ISTEXT(H25),"",(B25*$B$7/100)+(C25*$C$7/100))</f>
        <v>0.4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12</v>
      </c>
      <c r="T25" s="216" t="n">
        <f aca="false">IF(ISERROR(R25*I25*J25),0,R25*I25*J25)</f>
        <v>24</v>
      </c>
      <c r="U25" s="230" t="n">
        <f aca="false">IF(ISERROR(R25*J25),0,R25*J25)</f>
        <v>4</v>
      </c>
      <c r="V25" s="217" t="n">
        <v>4</v>
      </c>
      <c r="W25" s="218"/>
      <c r="Y25" s="219" t="str">
        <f aca="false">IF(A25="new.cod","NEWCOD",IF(AND((Z25=""),ISTEXT(A25)),A25,IF(Z25="","",INDEX('[1]liste reference'!$A$7:$A$892,Z25))))</f>
        <v>OEDSPX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542</v>
      </c>
      <c r="AA25" s="220"/>
      <c r="AB25" s="221"/>
      <c r="AC25" s="221"/>
      <c r="BC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25</v>
      </c>
      <c r="C26" s="224" t="n">
        <v>76</v>
      </c>
      <c r="D26" s="225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Vaucheria sp.</v>
      </c>
      <c r="E26" s="225" t="e">
        <f aca="false">IF(D26="",0,VLOOKUP(D26,D$22:D25,1,0))</f>
        <v>#N/A</v>
      </c>
      <c r="F26" s="226" t="n">
        <f aca="false">($B26*$B$7+$C26*$C$7)/100</f>
        <v>50.5</v>
      </c>
      <c r="G26" s="227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9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8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4</v>
      </c>
      <c r="J26" s="211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1</v>
      </c>
      <c r="K26" s="212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Vaucheria sp.</v>
      </c>
      <c r="L26" s="229"/>
      <c r="M26" s="229"/>
      <c r="N26" s="229"/>
      <c r="O26" s="214" t="str">
        <f aca="false">IF(AA26="Cf.","Cf.","")</f>
        <v/>
      </c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6193</v>
      </c>
      <c r="Q26" s="215" t="n">
        <f aca="false">IF(ISTEXT(H26),"",(B26*$B$7/100)+(C26*$C$7/100))</f>
        <v>50.5</v>
      </c>
      <c r="R26" s="216" t="n">
        <f aca="false">IF(OR(ISTEXT(H26),Q26=0),"",IF(Q26&lt;0.1,1,IF(Q26&lt;1,2,IF(Q26&lt;10,3,IF(Q26&lt;50,4,IF(Q26&gt;=50,5,""))))))</f>
        <v>5</v>
      </c>
      <c r="S26" s="216" t="n">
        <f aca="false">IF(ISERROR(R26*I26),0,R26*I26)</f>
        <v>20</v>
      </c>
      <c r="T26" s="216" t="n">
        <f aca="false">IF(ISERROR(R26*I26*J26),0,R26*I26*J26)</f>
        <v>20</v>
      </c>
      <c r="U26" s="230" t="n">
        <f aca="false">IF(ISERROR(R26*J26),0,R26*J26)</f>
        <v>5</v>
      </c>
      <c r="V26" s="217" t="n">
        <v>5</v>
      </c>
      <c r="W26" s="218"/>
      <c r="Y26" s="219" t="str">
        <f aca="false">IF(A26="new.cod","NEWCOD",IF(AND((Z26=""),ISTEXT(A26)),A26,IF(Z26="","",INDEX('[1]liste reference'!$A$7:$A$892,Z26))))</f>
        <v>VAUSPX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864</v>
      </c>
      <c r="AA26" s="220"/>
      <c r="AB26" s="221"/>
      <c r="AC26" s="221"/>
      <c r="BC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40</v>
      </c>
      <c r="C27" s="224" t="n">
        <v>30</v>
      </c>
      <c r="D27" s="225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Amblystegium riparium</v>
      </c>
      <c r="E27" s="225" t="e">
        <f aca="false">IF(D27="",0,VLOOKUP(D27,D$22:D26,1,0))</f>
        <v>#N/A</v>
      </c>
      <c r="F27" s="226" t="n">
        <f aca="false">($B27*$B$7+$C27*$C$7)/100</f>
        <v>35</v>
      </c>
      <c r="G27" s="227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BRm</v>
      </c>
      <c r="H27" s="209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5</v>
      </c>
      <c r="I27" s="228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5</v>
      </c>
      <c r="J27" s="211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2</v>
      </c>
      <c r="K27" s="212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Amblystegium riparium</v>
      </c>
      <c r="L27" s="229"/>
      <c r="M27" s="229"/>
      <c r="N27" s="229"/>
      <c r="O27" s="214" t="str">
        <f aca="false">IF(AA27="Cf.","Cf.","")</f>
        <v/>
      </c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1219</v>
      </c>
      <c r="Q27" s="215" t="n">
        <f aca="false">IF(ISTEXT(H27),"",(B27*$B$7/100)+(C27*$C$7/100))</f>
        <v>35</v>
      </c>
      <c r="R27" s="216" t="n">
        <f aca="false">IF(OR(ISTEXT(H27),Q27=0),"",IF(Q27&lt;0.1,1,IF(Q27&lt;1,2,IF(Q27&lt;10,3,IF(Q27&lt;50,4,IF(Q27&gt;=50,5,""))))))</f>
        <v>4</v>
      </c>
      <c r="S27" s="216" t="n">
        <f aca="false">IF(ISERROR(R27*I27),0,R27*I27)</f>
        <v>20</v>
      </c>
      <c r="T27" s="216" t="n">
        <f aca="false">IF(ISERROR(R27*I27*J27),0,R27*I27*J27)</f>
        <v>40</v>
      </c>
      <c r="U27" s="230" t="n">
        <f aca="false">IF(ISERROR(R27*J27),0,R27*J27)</f>
        <v>8</v>
      </c>
      <c r="V27" s="217" t="n">
        <v>8</v>
      </c>
      <c r="W27" s="218"/>
      <c r="Y27" s="219" t="str">
        <f aca="false">IF(A27="new.cod","NEWCOD",IF(AND((Z27=""),ISTEXT(A27)),A27,IF(Z27="","",INDEX('[1]liste reference'!$A$7:$A$892,Z27))))</f>
        <v>AMBRIP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24</v>
      </c>
      <c r="AA27" s="220"/>
      <c r="AB27" s="221"/>
      <c r="AC27" s="221"/>
      <c r="BC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5</v>
      </c>
      <c r="C28" s="224" t="n">
        <v>15</v>
      </c>
      <c r="D28" s="225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Cinclidotus danubicus</v>
      </c>
      <c r="E28" s="225" t="e">
        <f aca="false">IF(D28="",0,VLOOKUP(D28,D$22:D27,1,0))</f>
        <v>#N/A</v>
      </c>
      <c r="F28" s="226" t="n">
        <f aca="false">($B28*$B$7+$C28*$C$7)/100</f>
        <v>10</v>
      </c>
      <c r="G28" s="227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BRm</v>
      </c>
      <c r="H28" s="209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5</v>
      </c>
      <c r="I28" s="228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13</v>
      </c>
      <c r="J28" s="211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3</v>
      </c>
      <c r="K28" s="212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Cinclidotus danubicus</v>
      </c>
      <c r="L28" s="229"/>
      <c r="M28" s="229"/>
      <c r="N28" s="229"/>
      <c r="O28" s="214" t="str">
        <f aca="false">IF(AA28="Cf.","Cf.","")</f>
        <v/>
      </c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1319</v>
      </c>
      <c r="Q28" s="215" t="n">
        <f aca="false">IF(ISTEXT(H28),"",(B28*$B$7/100)+(C28*$C$7/100))</f>
        <v>10</v>
      </c>
      <c r="R28" s="216" t="n">
        <f aca="false">IF(OR(ISTEXT(H28),Q28=0),"",IF(Q28&lt;0.1,1,IF(Q28&lt;1,2,IF(Q28&lt;10,3,IF(Q28&lt;50,4,IF(Q28&gt;=50,5,""))))))</f>
        <v>4</v>
      </c>
      <c r="S28" s="216" t="n">
        <f aca="false">IF(ISERROR(R28*I28),0,R28*I28)</f>
        <v>52</v>
      </c>
      <c r="T28" s="216" t="n">
        <f aca="false">IF(ISERROR(R28*I28*J28),0,R28*I28*J28)</f>
        <v>156</v>
      </c>
      <c r="U28" s="230" t="n">
        <f aca="false">IF(ISERROR(R28*J28),0,R28*J28)</f>
        <v>12</v>
      </c>
      <c r="V28" s="217" t="n">
        <v>12</v>
      </c>
      <c r="W28" s="218"/>
      <c r="Y28" s="219" t="str">
        <f aca="false">IF(A28="new.cod","NEWCOD",IF(AND((Z28=""),ISTEXT(A28)),A28,IF(Z28="","",INDEX('[1]liste reference'!$A$7:$A$892,Z28))))</f>
        <v>CINDAN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174</v>
      </c>
      <c r="AA28" s="220"/>
      <c r="AB28" s="221"/>
      <c r="AC28" s="221"/>
      <c r="BC28" s="10" t="n">
        <f aca="false">IF(A28="","",1)</f>
        <v>1</v>
      </c>
    </row>
    <row r="29" customFormat="false" ht="12.75" hidden="false" customHeight="false" outlineLevel="0" collapsed="false">
      <c r="A29" s="222" t="s">
        <v>84</v>
      </c>
      <c r="B29" s="223" t="n">
        <v>6</v>
      </c>
      <c r="C29" s="224" t="n">
        <v>0</v>
      </c>
      <c r="D29" s="225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Fontinalis antipyretica</v>
      </c>
      <c r="E29" s="225" t="e">
        <f aca="false">IF(D29="",0,VLOOKUP(D29,D$22:D28,1,0))</f>
        <v>#N/A</v>
      </c>
      <c r="F29" s="226" t="n">
        <f aca="false">($B29*$B$7+$C29*$C$7)/100</f>
        <v>3</v>
      </c>
      <c r="G29" s="227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BRm</v>
      </c>
      <c r="H29" s="209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5</v>
      </c>
      <c r="I29" s="228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10</v>
      </c>
      <c r="J29" s="211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1</v>
      </c>
      <c r="K29" s="212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Fontinalis antipyretica</v>
      </c>
      <c r="L29" s="229"/>
      <c r="M29" s="229"/>
      <c r="N29" s="229"/>
      <c r="O29" s="214" t="str">
        <f aca="false">IF(AA29="Cf.","Cf.","")</f>
        <v/>
      </c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</v>
      </c>
      <c r="Q29" s="215" t="n">
        <f aca="false">IF(ISTEXT(H29),"",(B29*$B$7/100)+(C29*$C$7/100))</f>
        <v>3</v>
      </c>
      <c r="R29" s="216" t="n">
        <f aca="false">IF(OR(ISTEXT(H29),Q29=0),"",IF(Q29&lt;0.1,1,IF(Q29&lt;1,2,IF(Q29&lt;10,3,IF(Q29&lt;50,4,IF(Q29&gt;=50,5,""))))))</f>
        <v>3</v>
      </c>
      <c r="S29" s="216" t="n">
        <f aca="false">IF(ISERROR(R29*I29),0,R29*I29)</f>
        <v>30</v>
      </c>
      <c r="T29" s="216" t="n">
        <f aca="false">IF(ISERROR(R29*I29*J29),0,R29*I29*J29)</f>
        <v>30</v>
      </c>
      <c r="U29" s="230" t="n">
        <f aca="false">IF(ISERROR(R29*J29),0,R29*J29)</f>
        <v>3</v>
      </c>
      <c r="V29" s="217" t="n">
        <v>3</v>
      </c>
      <c r="W29" s="218"/>
      <c r="Y29" s="219" t="str">
        <f aca="false">IF(A29="new.cod","NEWCOD",IF(AND((Z29=""),ISTEXT(A29)),A29,IF(Z29="","",INDEX('[1]liste reference'!$A$7:$A$892,Z29))))</f>
        <v>FONANT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304</v>
      </c>
      <c r="AA29" s="220"/>
      <c r="AB29" s="221"/>
      <c r="AC29" s="221"/>
      <c r="BC29" s="10" t="n">
        <f aca="false">IF(A29="","",1)</f>
        <v>1</v>
      </c>
    </row>
    <row r="30" customFormat="false" ht="12.75" hidden="false" customHeight="false" outlineLevel="0" collapsed="false">
      <c r="A30" s="222" t="s">
        <v>85</v>
      </c>
      <c r="B30" s="223" t="n">
        <v>0.1</v>
      </c>
      <c r="C30" s="224" t="n">
        <v>4</v>
      </c>
      <c r="D30" s="225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Rhynchostegium riparioides</v>
      </c>
      <c r="E30" s="225" t="e">
        <f aca="false">IF(D30="",0,VLOOKUP(D30,D$22:D29,1,0))</f>
        <v>#N/A</v>
      </c>
      <c r="F30" s="226" t="n">
        <f aca="false">($B30*$B$7+$C30*$C$7)/100</f>
        <v>2.05</v>
      </c>
      <c r="G30" s="227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BRm</v>
      </c>
      <c r="H30" s="209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5</v>
      </c>
      <c r="I30" s="228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12</v>
      </c>
      <c r="J30" s="211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1</v>
      </c>
      <c r="K30" s="212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Rhynchostegium riparioides</v>
      </c>
      <c r="L30" s="229"/>
      <c r="M30" s="229"/>
      <c r="N30" s="229"/>
      <c r="O30" s="214" t="str">
        <f aca="false">IF(AA30="Cf.","Cf.","")</f>
        <v/>
      </c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5" t="n">
        <f aca="false">IF(ISTEXT(H30),"",(B30*$B$7/100)+(C30*$C$7/100))</f>
        <v>2.05</v>
      </c>
      <c r="R30" s="216" t="n">
        <f aca="false">IF(OR(ISTEXT(H30),Q30=0),"",IF(Q30&lt;0.1,1,IF(Q30&lt;1,2,IF(Q30&lt;10,3,IF(Q30&lt;50,4,IF(Q30&gt;=50,5,""))))))</f>
        <v>3</v>
      </c>
      <c r="S30" s="216" t="n">
        <f aca="false">IF(ISERROR(R30*I30),0,R30*I30)</f>
        <v>36</v>
      </c>
      <c r="T30" s="216" t="n">
        <f aca="false">IF(ISERROR(R30*I30*J30),0,R30*I30*J30)</f>
        <v>36</v>
      </c>
      <c r="U30" s="230" t="n">
        <f aca="false">IF(ISERROR(R30*J30),0,R30*J30)</f>
        <v>3</v>
      </c>
      <c r="V30" s="217" t="n">
        <v>3</v>
      </c>
      <c r="W30" s="218"/>
      <c r="Y30" s="219" t="str">
        <f aca="false">IF(A30="new.cod","NEWCOD",IF(AND((Z30=""),ISTEXT(A30)),A30,IF(Z30="","",INDEX('[1]liste reference'!$A$7:$A$892,Z30))))</f>
        <v>RHYRIP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705</v>
      </c>
      <c r="AA30" s="220"/>
      <c r="AB30" s="221"/>
      <c r="AC30" s="221"/>
      <c r="BC30" s="10" t="n">
        <f aca="false">IF(A30="","",1)</f>
        <v>1</v>
      </c>
    </row>
    <row r="31" customFormat="false" ht="12.75" hidden="false" customHeight="false" outlineLevel="0" collapsed="false">
      <c r="A31" s="222" t="s">
        <v>86</v>
      </c>
      <c r="B31" s="223" t="n">
        <v>0.1</v>
      </c>
      <c r="C31" s="224" t="n">
        <v>1</v>
      </c>
      <c r="D31" s="225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Myriophyllum spicatum</v>
      </c>
      <c r="E31" s="225" t="e">
        <f aca="false">IF(D31="",0,VLOOKUP(D31,D$22:D30,1,0))</f>
        <v>#N/A</v>
      </c>
      <c r="F31" s="226" t="n">
        <f aca="false">($B31*$B$7+$C31*$C$7)/100</f>
        <v>0.55</v>
      </c>
      <c r="G31" s="227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PHy</v>
      </c>
      <c r="H31" s="209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7</v>
      </c>
      <c r="I31" s="228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8</v>
      </c>
      <c r="J31" s="211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2</v>
      </c>
      <c r="K31" s="212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Myriophyllum spicatum</v>
      </c>
      <c r="L31" s="229"/>
      <c r="M31" s="229"/>
      <c r="N31" s="229"/>
      <c r="O31" s="214" t="str">
        <f aca="false">IF(AA31="Cf.","Cf.","")</f>
        <v/>
      </c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1778</v>
      </c>
      <c r="Q31" s="215" t="n">
        <f aca="false">IF(ISTEXT(H31),"",(B31*$B$7/100)+(C31*$C$7/100))</f>
        <v>0.55</v>
      </c>
      <c r="R31" s="216" t="n">
        <f aca="false">IF(OR(ISTEXT(H31),Q31=0),"",IF(Q31&lt;0.1,1,IF(Q31&lt;1,2,IF(Q31&lt;10,3,IF(Q31&lt;50,4,IF(Q31&gt;=50,5,""))))))</f>
        <v>2</v>
      </c>
      <c r="S31" s="216" t="n">
        <f aca="false">IF(ISERROR(R31*I31),0,R31*I31)</f>
        <v>16</v>
      </c>
      <c r="T31" s="216" t="n">
        <f aca="false">IF(ISERROR(R31*I31*J31),0,R31*I31*J31)</f>
        <v>32</v>
      </c>
      <c r="U31" s="230" t="n">
        <f aca="false">IF(ISERROR(R31*J31),0,R31*J31)</f>
        <v>4</v>
      </c>
      <c r="V31" s="217" t="n">
        <v>4</v>
      </c>
      <c r="W31" s="218"/>
      <c r="Y31" s="219" t="str">
        <f aca="false">IF(A31="new.cod","NEWCOD",IF(AND((Z31=""),ISTEXT(A31)),A31,IF(Z31="","",INDEX('[1]liste reference'!$A$7:$A$892,Z31))))</f>
        <v>MYRSPI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495</v>
      </c>
      <c r="AA31" s="220"/>
      <c r="AB31" s="221"/>
      <c r="AC31" s="221"/>
      <c r="BC31" s="10" t="n">
        <f aca="false">IF(A31="","",1)</f>
        <v>1</v>
      </c>
    </row>
    <row r="32" customFormat="false" ht="12.75" hidden="false" customHeight="false" outlineLevel="0" collapsed="false">
      <c r="A32" s="222" t="s">
        <v>87</v>
      </c>
      <c r="B32" s="223" t="n">
        <v>0</v>
      </c>
      <c r="C32" s="224" t="n">
        <v>1</v>
      </c>
      <c r="D32" s="225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Nuphar lutea</v>
      </c>
      <c r="E32" s="225" t="e">
        <f aca="false">IF(D32="",0,VLOOKUP(D32,D$22:D31,1,0))</f>
        <v>#N/A</v>
      </c>
      <c r="F32" s="226" t="n">
        <f aca="false">($B32*$B$7+$C32*$C$7)/100</f>
        <v>0.5</v>
      </c>
      <c r="G32" s="227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PHy</v>
      </c>
      <c r="H32" s="209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7</v>
      </c>
      <c r="I32" s="228" t="n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>9</v>
      </c>
      <c r="J32" s="211" t="n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>1</v>
      </c>
      <c r="K32" s="212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Nuphar lutea</v>
      </c>
      <c r="L32" s="229"/>
      <c r="M32" s="229"/>
      <c r="N32" s="229"/>
      <c r="O32" s="214" t="str">
        <f aca="false">IF(AA32="Cf.","Cf.","")</f>
        <v/>
      </c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1839</v>
      </c>
      <c r="Q32" s="215" t="n">
        <f aca="false">IF(ISTEXT(H32),"",(B32*$B$7/100)+(C32*$C$7/100))</f>
        <v>0.5</v>
      </c>
      <c r="R32" s="216" t="n">
        <f aca="false">IF(OR(ISTEXT(H32),Q32=0),"",IF(Q32&lt;0.1,1,IF(Q32&lt;1,2,IF(Q32&lt;10,3,IF(Q32&lt;50,4,IF(Q32&gt;=50,5,""))))))</f>
        <v>2</v>
      </c>
      <c r="S32" s="216" t="n">
        <f aca="false">IF(ISERROR(R32*I32),0,R32*I32)</f>
        <v>18</v>
      </c>
      <c r="T32" s="216" t="n">
        <f aca="false">IF(ISERROR(R32*I32*J32),0,R32*I32*J32)</f>
        <v>18</v>
      </c>
      <c r="U32" s="230" t="n">
        <f aca="false">IF(ISERROR(R32*J32),0,R32*J32)</f>
        <v>2</v>
      </c>
      <c r="V32" s="217" t="n">
        <v>2</v>
      </c>
      <c r="W32" s="218"/>
      <c r="Y32" s="219" t="str">
        <f aca="false">IF(A32="new.cod","NEWCOD",IF(AND((Z32=""),ISTEXT(A32)),A32,IF(Z32="","",INDEX('[1]liste reference'!$A$7:$A$892,Z32))))</f>
        <v>NUPLUT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529</v>
      </c>
      <c r="AA32" s="220"/>
      <c r="AB32" s="221"/>
      <c r="AC32" s="221"/>
      <c r="BC32" s="10" t="n">
        <f aca="false">IF(A32="","",1)</f>
        <v>1</v>
      </c>
    </row>
    <row r="33" customFormat="false" ht="12.75" hidden="false" customHeight="false" outlineLevel="0" collapsed="false">
      <c r="A33" s="222" t="s">
        <v>88</v>
      </c>
      <c r="B33" s="223" t="n">
        <v>0</v>
      </c>
      <c r="C33" s="224" t="n">
        <v>0.5</v>
      </c>
      <c r="D33" s="225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Potamogeton perfoliatus</v>
      </c>
      <c r="E33" s="225" t="e">
        <f aca="false">IF(D33="",0,VLOOKUP(D33,D$22:D32,1,0))</f>
        <v>#N/A</v>
      </c>
      <c r="F33" s="226" t="n">
        <f aca="false">($B33*$B$7+$C33*$C$7)/100</f>
        <v>0.25</v>
      </c>
      <c r="G33" s="227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PHy</v>
      </c>
      <c r="H33" s="209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7</v>
      </c>
      <c r="I33" s="228" t="n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>9</v>
      </c>
      <c r="J33" s="211" t="n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>2</v>
      </c>
      <c r="K33" s="212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Potamogeton perfoliatus</v>
      </c>
      <c r="L33" s="229"/>
      <c r="M33" s="229"/>
      <c r="N33" s="229"/>
      <c r="O33" s="214" t="str">
        <f aca="false">IF(AA33="Cf.","Cf.","")</f>
        <v/>
      </c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1656</v>
      </c>
      <c r="Q33" s="215" t="n">
        <f aca="false">IF(ISTEXT(H33),"",(B33*$B$7/100)+(C33*$C$7/100))</f>
        <v>0.25</v>
      </c>
      <c r="R33" s="216" t="n">
        <f aca="false">IF(OR(ISTEXT(H33),Q33=0),"",IF(Q33&lt;0.1,1,IF(Q33&lt;1,2,IF(Q33&lt;10,3,IF(Q33&lt;50,4,IF(Q33&gt;=50,5,""))))))</f>
        <v>2</v>
      </c>
      <c r="S33" s="216" t="n">
        <f aca="false">IF(ISERROR(R33*I33),0,R33*I33)</f>
        <v>18</v>
      </c>
      <c r="T33" s="216" t="n">
        <f aca="false">IF(ISERROR(R33*I33*J33),0,R33*I33*J33)</f>
        <v>36</v>
      </c>
      <c r="U33" s="230" t="n">
        <f aca="false">IF(ISERROR(R33*J33),0,R33*J33)</f>
        <v>4</v>
      </c>
      <c r="V33" s="217" t="n">
        <v>4</v>
      </c>
      <c r="W33" s="218"/>
      <c r="Y33" s="219" t="str">
        <f aca="false">IF(A33="new.cod","NEWCOD",IF(AND((Z33=""),ISTEXT(A33)),A33,IF(Z33="","",INDEX('[1]liste reference'!$A$7:$A$892,Z33))))</f>
        <v>POTPER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639</v>
      </c>
      <c r="AA33" s="220"/>
      <c r="AB33" s="221"/>
      <c r="AC33" s="221"/>
      <c r="BC33" s="10" t="n">
        <f aca="false">IF(A33="","",1)</f>
        <v>1</v>
      </c>
    </row>
    <row r="34" customFormat="false" ht="12.75" hidden="false" customHeight="false" outlineLevel="0" collapsed="false">
      <c r="A34" s="222" t="s">
        <v>89</v>
      </c>
      <c r="B34" s="223" t="n">
        <v>1</v>
      </c>
      <c r="C34" s="224" t="n">
        <v>0</v>
      </c>
      <c r="D34" s="225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Ranunculus fluitans</v>
      </c>
      <c r="E34" s="225" t="e">
        <f aca="false">IF(D34="",0,VLOOKUP(D34,D$22:D33,1,0))</f>
        <v>#N/A</v>
      </c>
      <c r="F34" s="232" t="n">
        <f aca="false">($B34*$B$7+$C34*$C$7)/100</f>
        <v>0.5</v>
      </c>
      <c r="G34" s="227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PHy</v>
      </c>
      <c r="H34" s="209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7</v>
      </c>
      <c r="I34" s="228" t="n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>10</v>
      </c>
      <c r="J34" s="211" t="n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>2</v>
      </c>
      <c r="K34" s="212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Ranunculus fluitans</v>
      </c>
      <c r="L34" s="229"/>
      <c r="M34" s="229"/>
      <c r="N34" s="229"/>
      <c r="O34" s="214" t="str">
        <f aca="false">IF(AA34="Cf.","Cf.","")</f>
        <v/>
      </c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193</v>
      </c>
      <c r="Q34" s="215" t="n">
        <f aca="false">IF(ISTEXT(H34),"",(B34*$B$7/100)+(C34*$C$7/100))</f>
        <v>0.5</v>
      </c>
      <c r="R34" s="216" t="n">
        <f aca="false">IF(OR(ISTEXT(H34),Q34=0),"",IF(Q34&lt;0.1,1,IF(Q34&lt;1,2,IF(Q34&lt;10,3,IF(Q34&lt;50,4,IF(Q34&gt;=50,5,""))))))</f>
        <v>2</v>
      </c>
      <c r="S34" s="216" t="n">
        <f aca="false">IF(ISERROR(R34*I34),0,R34*I34)</f>
        <v>20</v>
      </c>
      <c r="T34" s="216" t="n">
        <f aca="false">IF(ISERROR(R34*I34*J34),0,R34*I34*J34)</f>
        <v>40</v>
      </c>
      <c r="U34" s="230" t="n">
        <f aca="false">IF(ISERROR(R34*J34),0,R34*J34)</f>
        <v>4</v>
      </c>
      <c r="V34" s="217" t="n">
        <v>4</v>
      </c>
      <c r="W34" s="218"/>
      <c r="Y34" s="219" t="str">
        <f aca="false">IF(A34="new.cod","NEWCOD",IF(AND((Z34=""),ISTEXT(A34)),A34,IF(Z34="","",INDEX('[1]liste reference'!$A$7:$A$892,Z34))))</f>
        <v>RANFLU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673</v>
      </c>
      <c r="AA34" s="220"/>
      <c r="AB34" s="221"/>
      <c r="AC34" s="221"/>
      <c r="BC34" s="10" t="n">
        <f aca="false">IF(A34="","",1)</f>
        <v>1</v>
      </c>
    </row>
    <row r="35" customFormat="false" ht="12.75" hidden="false" customHeight="false" outlineLevel="0" collapsed="false">
      <c r="A35" s="222" t="s">
        <v>90</v>
      </c>
      <c r="B35" s="223" t="n">
        <v>0</v>
      </c>
      <c r="C35" s="224" t="n">
        <v>0.01</v>
      </c>
      <c r="D35" s="225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Carex sp.</v>
      </c>
      <c r="E35" s="225" t="e">
        <f aca="false">IF(D35="",0,VLOOKUP(D35,D$22:D34,1,0))</f>
        <v>#N/A</v>
      </c>
      <c r="F35" s="232" t="n">
        <f aca="false">($B35*$B$7+$C35*$C$7)/100</f>
        <v>0.005</v>
      </c>
      <c r="G35" s="227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PHe</v>
      </c>
      <c r="H35" s="209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8</v>
      </c>
      <c r="I35" s="228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1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2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Carex sp.</v>
      </c>
      <c r="L35" s="229"/>
      <c r="M35" s="229"/>
      <c r="N35" s="229"/>
      <c r="O35" s="214" t="str">
        <f aca="false">IF(AA35="Cf.","Cf.","")</f>
        <v/>
      </c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1466</v>
      </c>
      <c r="Q35" s="215" t="n">
        <f aca="false">IF(ISTEXT(H35),"",(B35*$B$7/100)+(C35*$C$7/100))</f>
        <v>0.005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0</v>
      </c>
      <c r="T35" s="216" t="n">
        <f aca="false">IF(ISERROR(R35*I35*J35),0,R35*I35*J35)</f>
        <v>0</v>
      </c>
      <c r="U35" s="230" t="n">
        <f aca="false">IF(ISERROR(R35*J35),0,R35*J35)</f>
        <v>0</v>
      </c>
      <c r="V35" s="217" t="n">
        <v>0</v>
      </c>
      <c r="W35" s="218"/>
      <c r="Y35" s="219" t="str">
        <f aca="false">IF(A35="new.cod","NEWCOD",IF(AND((Z35=""),ISTEXT(A35)),A35,IF(Z35="","",INDEX('[1]liste reference'!$A$7:$A$892,Z35))))</f>
        <v>CARSPX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135</v>
      </c>
      <c r="AA35" s="220"/>
      <c r="AB35" s="221"/>
      <c r="AC35" s="221"/>
      <c r="BC35" s="10" t="n">
        <f aca="false">IF(A35="","",1)</f>
        <v>1</v>
      </c>
    </row>
    <row r="36" customFormat="false" ht="12.75" hidden="false" customHeight="false" outlineLevel="0" collapsed="false">
      <c r="A36" s="222" t="s">
        <v>91</v>
      </c>
      <c r="B36" s="223" t="n">
        <v>4</v>
      </c>
      <c r="C36" s="224" t="n">
        <v>0.5</v>
      </c>
      <c r="D36" s="225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>Glyceria fluitans</v>
      </c>
      <c r="E36" s="225" t="e">
        <f aca="false">IF(D36="",0,VLOOKUP(D36,D$22:D35,1,0))</f>
        <v>#N/A</v>
      </c>
      <c r="F36" s="232" t="n">
        <f aca="false">($B36*$B$7+$C36*$C$7)/100</f>
        <v>2.25</v>
      </c>
      <c r="G36" s="227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PHe</v>
      </c>
      <c r="H36" s="209" t="n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8</v>
      </c>
      <c r="I36" s="228" t="n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>14</v>
      </c>
      <c r="J36" s="211" t="n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>2</v>
      </c>
      <c r="K36" s="212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Glyceria fluitans</v>
      </c>
      <c r="L36" s="229"/>
      <c r="M36" s="229"/>
      <c r="N36" s="229"/>
      <c r="O36" s="214" t="str">
        <f aca="false">IF(AA36="Cf.","Cf.","")</f>
        <v/>
      </c>
      <c r="P36" s="214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1564</v>
      </c>
      <c r="Q36" s="215" t="n">
        <f aca="false">IF(ISTEXT(H36),"",(B36*$B$7/100)+(C36*$C$7/100))</f>
        <v>2.25</v>
      </c>
      <c r="R36" s="216" t="n">
        <f aca="false">IF(OR(ISTEXT(H36),Q36=0),"",IF(Q36&lt;0.1,1,IF(Q36&lt;1,2,IF(Q36&lt;10,3,IF(Q36&lt;50,4,IF(Q36&gt;=50,5,""))))))</f>
        <v>3</v>
      </c>
      <c r="S36" s="216" t="n">
        <f aca="false">IF(ISERROR(R36*I36),0,R36*I36)</f>
        <v>42</v>
      </c>
      <c r="T36" s="216" t="n">
        <f aca="false">IF(ISERROR(R36*I36*J36),0,R36*I36*J36)</f>
        <v>84</v>
      </c>
      <c r="U36" s="230" t="n">
        <f aca="false">IF(ISERROR(R36*J36),0,R36*J36)</f>
        <v>6</v>
      </c>
      <c r="V36" s="217" t="n">
        <v>6</v>
      </c>
      <c r="W36" s="218"/>
      <c r="Y36" s="219" t="str">
        <f aca="false">IF(A36="new.cod","NEWCOD",IF(AND((Z36=""),ISTEXT(A36)),A36,IF(Z36="","",INDEX('[1]liste reference'!$A$7:$A$892,Z36))))</f>
        <v>GLYFLU</v>
      </c>
      <c r="Z36" s="10" t="n">
        <f aca="false">IF(ISERROR(MATCH(A36,'[1]liste reference'!$A$7:$A$892,0)),IF(ISERROR(MATCH(A36,'[1]liste reference'!$B$7:$B$892,0)),"",(MATCH(A36,'[1]liste reference'!$B$7:$B$892,0))),(MATCH(A36,'[1]liste reference'!$A$7:$A$892,0)))</f>
        <v>320</v>
      </c>
      <c r="AA36" s="220"/>
      <c r="AB36" s="221"/>
      <c r="AC36" s="221"/>
      <c r="BC36" s="10" t="n">
        <f aca="false">IF(A36="","",1)</f>
        <v>1</v>
      </c>
    </row>
    <row r="37" customFormat="false" ht="12.75" hidden="false" customHeight="false" outlineLevel="0" collapsed="false">
      <c r="A37" s="222" t="s">
        <v>92</v>
      </c>
      <c r="B37" s="223" t="n">
        <v>0.01</v>
      </c>
      <c r="C37" s="224" t="n">
        <v>0</v>
      </c>
      <c r="D37" s="225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>Juncus sp.</v>
      </c>
      <c r="E37" s="225" t="e">
        <f aca="false">IF(D37="",0,VLOOKUP(D37,D$22:D36,1,0))</f>
        <v>#N/A</v>
      </c>
      <c r="F37" s="232" t="n">
        <f aca="false">($B37*$B$7+$C37*$C$7)/100</f>
        <v>0.005</v>
      </c>
      <c r="G37" s="227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PHe</v>
      </c>
      <c r="H37" s="209" t="n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8</v>
      </c>
      <c r="I37" s="228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1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2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Juncus sp.</v>
      </c>
      <c r="L37" s="229"/>
      <c r="M37" s="229"/>
      <c r="N37" s="229"/>
      <c r="O37" s="214" t="str">
        <f aca="false">IF(AA37="Cf.","Cf.","")</f>
        <v/>
      </c>
      <c r="P37" s="214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166</v>
      </c>
      <c r="Q37" s="215" t="n">
        <f aca="false">IF(ISTEXT(H37),"",(B37*$B$7/100)+(C37*$C$7/100))</f>
        <v>0.005</v>
      </c>
      <c r="R37" s="216" t="n">
        <f aca="false">IF(OR(ISTEXT(H37),Q37=0),"",IF(Q37&lt;0.1,1,IF(Q37&lt;1,2,IF(Q37&lt;10,3,IF(Q37&lt;50,4,IF(Q37&gt;=50,5,""))))))</f>
        <v>1</v>
      </c>
      <c r="S37" s="216" t="n">
        <f aca="false">IF(ISERROR(R37*I37),0,R37*I37)</f>
        <v>0</v>
      </c>
      <c r="T37" s="216" t="n">
        <f aca="false">IF(ISERROR(R37*I37*J37),0,R37*I37*J37)</f>
        <v>0</v>
      </c>
      <c r="U37" s="230" t="n">
        <f aca="false">IF(ISERROR(R37*J37),0,R37*J37)</f>
        <v>0</v>
      </c>
      <c r="V37" s="217" t="n">
        <v>0</v>
      </c>
      <c r="W37" s="218"/>
      <c r="Y37" s="219" t="str">
        <f aca="false">IF(A37="new.cod","NEWCOD",IF(AND((Z37=""),ISTEXT(A37)),A37,IF(Z37="","",INDEX('[1]liste reference'!$A$7:$A$892,Z37))))</f>
        <v>JUNSPX</v>
      </c>
      <c r="Z37" s="10" t="n">
        <f aca="false">IF(ISERROR(MATCH(A37,'[1]liste reference'!$A$7:$A$892,0)),IF(ISERROR(MATCH(A37,'[1]liste reference'!$B$7:$B$892,0)),"",(MATCH(A37,'[1]liste reference'!$B$7:$B$892,0))),(MATCH(A37,'[1]liste reference'!$A$7:$A$892,0)))</f>
        <v>402</v>
      </c>
      <c r="AA37" s="220"/>
      <c r="AB37" s="221"/>
      <c r="AC37" s="221"/>
      <c r="BC37" s="10" t="n">
        <f aca="false">IF(A37="","",1)</f>
        <v>1</v>
      </c>
    </row>
    <row r="38" customFormat="false" ht="12.75" hidden="false" customHeight="false" outlineLevel="0" collapsed="false">
      <c r="A38" s="222" t="s">
        <v>93</v>
      </c>
      <c r="B38" s="223" t="n">
        <v>0</v>
      </c>
      <c r="C38" s="224" t="n">
        <v>0.01</v>
      </c>
      <c r="D38" s="225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>Lythrum salicaria</v>
      </c>
      <c r="E38" s="225" t="e">
        <f aca="false">IF(D38="",0,VLOOKUP(D38,D$22:D37,1,0))</f>
        <v>#N/A</v>
      </c>
      <c r="F38" s="232" t="n">
        <f aca="false">($B38*$B$7+$C38*$C$7)/100</f>
        <v>0.005</v>
      </c>
      <c r="G38" s="227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>PHe</v>
      </c>
      <c r="H38" s="209" t="n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8</v>
      </c>
      <c r="I38" s="228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1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2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>Lythrum salicaria</v>
      </c>
      <c r="L38" s="229"/>
      <c r="M38" s="229"/>
      <c r="N38" s="229"/>
      <c r="O38" s="214" t="str">
        <f aca="false">IF(AA38="Cf.","Cf.","")</f>
        <v/>
      </c>
      <c r="P38" s="214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1823</v>
      </c>
      <c r="Q38" s="215" t="n">
        <f aca="false">IF(ISTEXT(H38),"",(B38*$B$7/100)+(C38*$C$7/100))</f>
        <v>0.005</v>
      </c>
      <c r="R38" s="216" t="n">
        <f aca="false">IF(OR(ISTEXT(H38),Q38=0),"",IF(Q38&lt;0.1,1,IF(Q38&lt;1,2,IF(Q38&lt;10,3,IF(Q38&lt;50,4,IF(Q38&gt;=50,5,""))))))</f>
        <v>1</v>
      </c>
      <c r="S38" s="216" t="n">
        <f aca="false">IF(ISERROR(R38*I38),0,R38*I38)</f>
        <v>0</v>
      </c>
      <c r="T38" s="216" t="n">
        <f aca="false">IF(ISERROR(R38*I38*J38),0,R38*I38*J38)</f>
        <v>0</v>
      </c>
      <c r="U38" s="230" t="n">
        <f aca="false">IF(ISERROR(R38*J38),0,R38*J38)</f>
        <v>0</v>
      </c>
      <c r="V38" s="217" t="n">
        <v>0</v>
      </c>
      <c r="W38" s="218"/>
      <c r="Y38" s="219" t="str">
        <f aca="false">IF(A38="new.cod","NEWCOD",IF(AND((Z38=""),ISTEXT(A38)),A38,IF(Z38="","",INDEX('[1]liste reference'!$A$7:$A$892,Z38))))</f>
        <v>LYTSAL</v>
      </c>
      <c r="Z38" s="10" t="n">
        <f aca="false">IF(ISERROR(MATCH(A38,'[1]liste reference'!$A$7:$A$892,0)),IF(ISERROR(MATCH(A38,'[1]liste reference'!$B$7:$B$892,0)),"",(MATCH(A38,'[1]liste reference'!$B$7:$B$892,0))),(MATCH(A38,'[1]liste reference'!$A$7:$A$892,0)))</f>
        <v>444</v>
      </c>
      <c r="AA38" s="220"/>
      <c r="AB38" s="221"/>
      <c r="AC38" s="221"/>
      <c r="BC38" s="10" t="n">
        <f aca="false">IF(A38="","",1)</f>
        <v>1</v>
      </c>
    </row>
    <row r="39" customFormat="false" ht="12.75" hidden="false" customHeight="false" outlineLevel="0" collapsed="false">
      <c r="A39" s="222" t="s">
        <v>94</v>
      </c>
      <c r="B39" s="223" t="n">
        <v>0</v>
      </c>
      <c r="C39" s="224" t="n">
        <v>0.01</v>
      </c>
      <c r="D39" s="225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>Mentha aquatica</v>
      </c>
      <c r="E39" s="225" t="e">
        <f aca="false">IF(D39="",0,VLOOKUP(D39,D$22:D38,1,0))</f>
        <v>#N/A</v>
      </c>
      <c r="F39" s="232" t="n">
        <f aca="false">($B39*$B$7+$C39*$C$7)/100</f>
        <v>0.005</v>
      </c>
      <c r="G39" s="227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>PHe</v>
      </c>
      <c r="H39" s="209" t="n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8</v>
      </c>
      <c r="I39" s="228" t="n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>12</v>
      </c>
      <c r="J39" s="211" t="n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>1</v>
      </c>
      <c r="K39" s="212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>Mentha aquatica</v>
      </c>
      <c r="L39" s="229"/>
      <c r="M39" s="229"/>
      <c r="N39" s="229"/>
      <c r="O39" s="214" t="str">
        <f aca="false">IF(AA39="Cf.","Cf.","")</f>
        <v/>
      </c>
      <c r="P39" s="214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1791</v>
      </c>
      <c r="Q39" s="215" t="n">
        <f aca="false">IF(ISTEXT(H39),"",(B39*$B$7/100)+(C39*$C$7/100))</f>
        <v>0.005</v>
      </c>
      <c r="R39" s="216" t="n">
        <f aca="false">IF(OR(ISTEXT(H39),Q39=0),"",IF(Q39&lt;0.1,1,IF(Q39&lt;1,2,IF(Q39&lt;10,3,IF(Q39&lt;50,4,IF(Q39&gt;=50,5,""))))))</f>
        <v>1</v>
      </c>
      <c r="S39" s="216" t="n">
        <f aca="false">IF(ISERROR(R39*I39),0,R39*I39)</f>
        <v>12</v>
      </c>
      <c r="T39" s="216" t="n">
        <f aca="false">IF(ISERROR(R39*I39*J39),0,R39*I39*J39)</f>
        <v>12</v>
      </c>
      <c r="U39" s="230" t="n">
        <f aca="false">IF(ISERROR(R39*J39),0,R39*J39)</f>
        <v>1</v>
      </c>
      <c r="V39" s="217" t="n">
        <v>1</v>
      </c>
      <c r="W39" s="218"/>
      <c r="Y39" s="219" t="str">
        <f aca="false">IF(A39="new.cod","NEWCOD",IF(AND((Z39=""),ISTEXT(A39)),A39,IF(Z39="","",INDEX('[1]liste reference'!$A$7:$A$892,Z39))))</f>
        <v>MENAQU</v>
      </c>
      <c r="Z39" s="10" t="n">
        <f aca="false">IF(ISERROR(MATCH(A39,'[1]liste reference'!$A$7:$A$892,0)),IF(ISERROR(MATCH(A39,'[1]liste reference'!$B$7:$B$892,0)),"",(MATCH(A39,'[1]liste reference'!$B$7:$B$892,0))),(MATCH(A39,'[1]liste reference'!$A$7:$A$892,0)))</f>
        <v>458</v>
      </c>
      <c r="AA39" s="220"/>
      <c r="AB39" s="221"/>
      <c r="AC39" s="221"/>
      <c r="BC39" s="10" t="n">
        <f aca="false">IF(A39="","",1)</f>
        <v>1</v>
      </c>
    </row>
    <row r="40" customFormat="false" ht="12.75" hidden="false" customHeight="false" outlineLevel="0" collapsed="false">
      <c r="A40" s="222" t="s">
        <v>95</v>
      </c>
      <c r="B40" s="223" t="n">
        <v>0</v>
      </c>
      <c r="C40" s="224" t="n">
        <v>37</v>
      </c>
      <c r="D40" s="225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>Phalaris arundinacea</v>
      </c>
      <c r="E40" s="225" t="e">
        <f aca="false">IF(D40="",0,VLOOKUP(D40,D$22:D39,1,0))</f>
        <v>#N/A</v>
      </c>
      <c r="F40" s="232" t="n">
        <f aca="false">($B40*$B$7+$C40*$C$7)/100</f>
        <v>18.5</v>
      </c>
      <c r="G40" s="227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>PHe</v>
      </c>
      <c r="H40" s="209" t="n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8</v>
      </c>
      <c r="I40" s="228" t="n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>10</v>
      </c>
      <c r="J40" s="211" t="n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>1</v>
      </c>
      <c r="K40" s="212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>Phalaris arundinacea</v>
      </c>
      <c r="L40" s="229"/>
      <c r="M40" s="229"/>
      <c r="N40" s="229"/>
      <c r="O40" s="214" t="str">
        <f aca="false">IF(AA40="Cf.","Cf.","")</f>
        <v/>
      </c>
      <c r="P40" s="214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1577</v>
      </c>
      <c r="Q40" s="215" t="n">
        <f aca="false">IF(ISTEXT(H40),"",(B40*$B$7/100)+(C40*$C$7/100))</f>
        <v>18.5</v>
      </c>
      <c r="R40" s="216" t="n">
        <f aca="false">IF(OR(ISTEXT(H40),Q40=0),"",IF(Q40&lt;0.1,1,IF(Q40&lt;1,2,IF(Q40&lt;10,3,IF(Q40&lt;50,4,IF(Q40&gt;=50,5,""))))))</f>
        <v>4</v>
      </c>
      <c r="S40" s="216" t="n">
        <f aca="false">IF(ISERROR(R40*I40),0,R40*I40)</f>
        <v>40</v>
      </c>
      <c r="T40" s="216" t="n">
        <f aca="false">IF(ISERROR(R40*I40*J40),0,R40*I40*J40)</f>
        <v>40</v>
      </c>
      <c r="U40" s="230" t="n">
        <f aca="false">IF(ISERROR(R40*J40),0,R40*J40)</f>
        <v>4</v>
      </c>
      <c r="V40" s="217" t="n">
        <v>4</v>
      </c>
      <c r="W40" s="218"/>
      <c r="Y40" s="219" t="str">
        <f aca="false">IF(A40="new.cod","NEWCOD",IF(AND((Z40=""),ISTEXT(A40)),A40,IF(Z40="","",INDEX('[1]liste reference'!$A$7:$A$892,Z40))))</f>
        <v>PHAARU</v>
      </c>
      <c r="Z40" s="10" t="n">
        <f aca="false">IF(ISERROR(MATCH(A40,'[1]liste reference'!$A$7:$A$892,0)),IF(ISERROR(MATCH(A40,'[1]liste reference'!$B$7:$B$892,0)),"",(MATCH(A40,'[1]liste reference'!$B$7:$B$892,0))),(MATCH(A40,'[1]liste reference'!$A$7:$A$892,0)))</f>
        <v>565</v>
      </c>
      <c r="AA40" s="220"/>
      <c r="AB40" s="221"/>
      <c r="AC40" s="221"/>
      <c r="BC40" s="10" t="n">
        <f aca="false">IF(A40="","",1)</f>
        <v>1</v>
      </c>
    </row>
    <row r="41" customFormat="false" ht="12.75" hidden="false" customHeight="false" outlineLevel="0" collapsed="false">
      <c r="A41" s="222" t="s">
        <v>96</v>
      </c>
      <c r="B41" s="223" t="n">
        <v>11.1</v>
      </c>
      <c r="C41" s="224" t="n">
        <v>0.05</v>
      </c>
      <c r="D41" s="225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>Scirpus lacustris</v>
      </c>
      <c r="E41" s="225" t="e">
        <f aca="false">IF(D41="",0,VLOOKUP(D41,D$22:D40,1,0))</f>
        <v>#N/A</v>
      </c>
      <c r="F41" s="232" t="n">
        <f aca="false">($B41*$B$7+$C41*$C$7)/100</f>
        <v>5.575</v>
      </c>
      <c r="G41" s="227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>PHe</v>
      </c>
      <c r="H41" s="209" t="n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8</v>
      </c>
      <c r="I41" s="228" t="n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>8</v>
      </c>
      <c r="J41" s="211" t="n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>2</v>
      </c>
      <c r="K41" s="212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>Scirpus lacustris</v>
      </c>
      <c r="L41" s="229"/>
      <c r="M41" s="229"/>
      <c r="N41" s="229"/>
      <c r="O41" s="214" t="str">
        <f aca="false">IF(AA41="Cf.","Cf.","")</f>
        <v/>
      </c>
      <c r="P41" s="214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152</v>
      </c>
      <c r="Q41" s="215" t="n">
        <f aca="false">IF(ISTEXT(H41),"",(B41*$B$7/100)+(C41*$C$7/100))</f>
        <v>5.575</v>
      </c>
      <c r="R41" s="216" t="n">
        <f aca="false">IF(OR(ISTEXT(H41),Q41=0),"",IF(Q41&lt;0.1,1,IF(Q41&lt;1,2,IF(Q41&lt;10,3,IF(Q41&lt;50,4,IF(Q41&gt;=50,5,""))))))</f>
        <v>3</v>
      </c>
      <c r="S41" s="216" t="n">
        <f aca="false">IF(ISERROR(R41*I41),0,R41*I41)</f>
        <v>24</v>
      </c>
      <c r="T41" s="216" t="n">
        <f aca="false">IF(ISERROR(R41*I41*J41),0,R41*I41*J41)</f>
        <v>48</v>
      </c>
      <c r="U41" s="230" t="n">
        <f aca="false">IF(ISERROR(R41*J41),0,R41*J41)</f>
        <v>6</v>
      </c>
      <c r="V41" s="217" t="n">
        <v>6</v>
      </c>
      <c r="W41" s="218"/>
      <c r="Y41" s="219" t="str">
        <f aca="false">IF(A41="new.cod","NEWCOD",IF(AND((Z41=""),ISTEXT(A41)),A41,IF(Z41="","",INDEX('[1]liste reference'!$A$7:$A$892,Z41))))</f>
        <v>SCILAC</v>
      </c>
      <c r="Z41" s="10" t="n">
        <f aca="false">IF(ISERROR(MATCH(A41,'[1]liste reference'!$A$7:$A$892,0)),IF(ISERROR(MATCH(A41,'[1]liste reference'!$B$7:$B$892,0)),"",(MATCH(A41,'[1]liste reference'!$B$7:$B$892,0))),(MATCH(A41,'[1]liste reference'!$A$7:$A$892,0)))</f>
        <v>761</v>
      </c>
      <c r="AA41" s="220"/>
      <c r="AB41" s="221"/>
      <c r="AC41" s="221"/>
      <c r="BC41" s="10" t="n">
        <f aca="false">IF(A41="","",1)</f>
        <v>1</v>
      </c>
    </row>
    <row r="42" customFormat="false" ht="12.75" hidden="false" customHeight="false" outlineLevel="0" collapsed="false">
      <c r="A42" s="222" t="s">
        <v>97</v>
      </c>
      <c r="B42" s="223" t="n">
        <v>0</v>
      </c>
      <c r="C42" s="224" t="n">
        <v>0.01</v>
      </c>
      <c r="D42" s="225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>Veronica anagallis-aquatica</v>
      </c>
      <c r="E42" s="225" t="e">
        <f aca="false">IF(D42="",0,VLOOKUP(D42,D$22:D41,1,0))</f>
        <v>#N/A</v>
      </c>
      <c r="F42" s="232" t="n">
        <f aca="false">($B42*$B$7+$C42*$C$7)/100</f>
        <v>0.005</v>
      </c>
      <c r="G42" s="227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>PHe</v>
      </c>
      <c r="H42" s="209" t="n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8</v>
      </c>
      <c r="I42" s="228" t="n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>11</v>
      </c>
      <c r="J42" s="211" t="n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>2</v>
      </c>
      <c r="K42" s="212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>Veronica anagallis-aquatica</v>
      </c>
      <c r="L42" s="229"/>
      <c r="M42" s="229"/>
      <c r="N42" s="229"/>
      <c r="O42" s="214" t="str">
        <f aca="false">IF(AA42="Cf.","Cf.","")</f>
        <v/>
      </c>
      <c r="P42" s="214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1955</v>
      </c>
      <c r="Q42" s="215" t="n">
        <f aca="false">IF(ISTEXT(H42),"",(B42*$B$7/100)+(C42*$C$7/100))</f>
        <v>0.005</v>
      </c>
      <c r="R42" s="216" t="n">
        <f aca="false">IF(OR(ISTEXT(H42),Q42=0),"",IF(Q42&lt;0.1,1,IF(Q42&lt;1,2,IF(Q42&lt;10,3,IF(Q42&lt;50,4,IF(Q42&gt;=50,5,""))))))</f>
        <v>1</v>
      </c>
      <c r="S42" s="216" t="n">
        <f aca="false">IF(ISERROR(R42*I42),0,R42*I42)</f>
        <v>11</v>
      </c>
      <c r="T42" s="216" t="n">
        <f aca="false">IF(ISERROR(R42*I42*J42),0,R42*I42*J42)</f>
        <v>22</v>
      </c>
      <c r="U42" s="230" t="n">
        <f aca="false">IF(ISERROR(R42*J42),0,R42*J42)</f>
        <v>2</v>
      </c>
      <c r="V42" s="217" t="n">
        <v>2</v>
      </c>
      <c r="W42" s="218"/>
      <c r="Y42" s="219" t="str">
        <f aca="false">IF(A42="new.cod","NEWCOD",IF(AND((Z42=""),ISTEXT(A42)),A42,IF(Z42="","",INDEX('[1]liste reference'!$A$7:$A$892,Z42))))</f>
        <v>VERANA</v>
      </c>
      <c r="Z42" s="10" t="n">
        <f aca="false">IF(ISERROR(MATCH(A42,'[1]liste reference'!$A$7:$A$892,0)),IF(ISERROR(MATCH(A42,'[1]liste reference'!$B$7:$B$892,0)),"",(MATCH(A42,'[1]liste reference'!$B$7:$B$892,0))),(MATCH(A42,'[1]liste reference'!$A$7:$A$892,0)))</f>
        <v>865</v>
      </c>
      <c r="AA42" s="220"/>
      <c r="AB42" s="221"/>
      <c r="AC42" s="221"/>
      <c r="BC42" s="10" t="n">
        <f aca="false">IF(A42="","",1)</f>
        <v>1</v>
      </c>
    </row>
    <row r="43" customFormat="false" ht="12.75" hidden="false" customHeight="false" outlineLevel="0" collapsed="false">
      <c r="A43" s="222"/>
      <c r="B43" s="223"/>
      <c r="C43" s="224"/>
      <c r="D43" s="225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5" t="n">
        <f aca="false">IF(D43="",0,VLOOKUP(D43,D$22:D42,1,0))</f>
        <v>0</v>
      </c>
      <c r="F43" s="232" t="n">
        <f aca="false">($B43*$B$7+$C43*$C$7)/100</f>
        <v>0</v>
      </c>
      <c r="G43" s="227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9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8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1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2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9"/>
      <c r="M43" s="229"/>
      <c r="N43" s="229"/>
      <c r="O43" s="214" t="str">
        <f aca="false">IF(AA43="Cf.","Cf.","")</f>
        <v/>
      </c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30" t="n">
        <f aca="false">IF(ISERROR(R43*J43),0,R43*J43)</f>
        <v>0</v>
      </c>
      <c r="V43" s="217" t="n">
        <v>0</v>
      </c>
      <c r="W43" s="218"/>
      <c r="Y43" s="219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20"/>
      <c r="AB43" s="221"/>
      <c r="AC43" s="221"/>
      <c r="BC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25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5" t="n">
        <f aca="false">IF(D44="",0,VLOOKUP(D44,D$22:D43,1,0))</f>
        <v>0</v>
      </c>
      <c r="F44" s="232" t="n">
        <f aca="false">($B44*$B$7+$C44*$C$7)/100</f>
        <v>0</v>
      </c>
      <c r="G44" s="227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9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8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1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2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9"/>
      <c r="M44" s="229"/>
      <c r="N44" s="229"/>
      <c r="O44" s="214" t="str">
        <f aca="false">IF(AA44="Cf.","Cf.","")</f>
        <v/>
      </c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30" t="n">
        <f aca="false">IF(ISERROR(R44*J44),0,R44*J44)</f>
        <v>0</v>
      </c>
      <c r="V44" s="217" t="n">
        <v>0</v>
      </c>
      <c r="W44" s="218"/>
      <c r="Y44" s="219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20"/>
      <c r="AB44" s="221"/>
      <c r="AC44" s="221"/>
      <c r="BC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25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5" t="n">
        <f aca="false">IF(D45="",0,VLOOKUP(D45,D$22:D44,1,0))</f>
        <v>0</v>
      </c>
      <c r="F45" s="232" t="n">
        <f aca="false">($B45*$B$7+$C45*$C$7)/100</f>
        <v>0</v>
      </c>
      <c r="G45" s="227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9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8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1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2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9"/>
      <c r="M45" s="229"/>
      <c r="N45" s="229"/>
      <c r="O45" s="214" t="str">
        <f aca="false">IF(AA45="Cf.","Cf.","")</f>
        <v/>
      </c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30" t="n">
        <f aca="false">IF(ISERROR(R45*J45),0,R45*J45)</f>
        <v>0</v>
      </c>
      <c r="V45" s="217" t="n">
        <v>0</v>
      </c>
      <c r="W45" s="218"/>
      <c r="Y45" s="219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20"/>
      <c r="AB45" s="221"/>
      <c r="AC45" s="221"/>
      <c r="BC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25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5" t="n">
        <f aca="false">IF(D46="",0,VLOOKUP(D46,D$22:D39,1,0))</f>
        <v>0</v>
      </c>
      <c r="F46" s="232" t="n">
        <f aca="false">($B46*$B$7+$C46*$C$7)/100</f>
        <v>0</v>
      </c>
      <c r="G46" s="227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9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8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1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2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9"/>
      <c r="M46" s="229"/>
      <c r="N46" s="229"/>
      <c r="O46" s="214" t="str">
        <f aca="false">IF(AA46="Cf.","Cf.","")</f>
        <v/>
      </c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30" t="n">
        <f aca="false">IF(ISERROR(R46*J46),0,R46*J46)</f>
        <v>0</v>
      </c>
      <c r="V46" s="217" t="n">
        <v>0</v>
      </c>
      <c r="W46" s="218"/>
      <c r="Y46" s="219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20"/>
      <c r="AB46" s="221"/>
      <c r="AC46" s="221"/>
      <c r="BC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25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5" t="n">
        <f aca="false">IF(D47="",0,VLOOKUP(D47,D$22:D39,1,0))</f>
        <v>0</v>
      </c>
      <c r="F47" s="232" t="n">
        <f aca="false">($B47*$B$7+$C47*$C$7)/100</f>
        <v>0</v>
      </c>
      <c r="G47" s="227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9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8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1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2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9"/>
      <c r="M47" s="229"/>
      <c r="N47" s="229"/>
      <c r="O47" s="214" t="str">
        <f aca="false">IF(AA47="Cf.","Cf.","")</f>
        <v/>
      </c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30" t="n">
        <f aca="false">IF(ISERROR(R47*J47),0,R47*J47)</f>
        <v>0</v>
      </c>
      <c r="V47" s="217" t="n">
        <v>0</v>
      </c>
      <c r="W47" s="218"/>
      <c r="Y47" s="219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20"/>
      <c r="AB47" s="221"/>
      <c r="AC47" s="221"/>
      <c r="BC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25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5" t="n">
        <f aca="false">IF(D48="",0,VLOOKUP(D48,D$22:D40,1,0))</f>
        <v>0</v>
      </c>
      <c r="F48" s="232" t="n">
        <f aca="false">($B48*$B$7+$C48*$C$7)/100</f>
        <v>0</v>
      </c>
      <c r="G48" s="227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9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8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1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2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9"/>
      <c r="M48" s="229"/>
      <c r="N48" s="229"/>
      <c r="O48" s="214" t="str">
        <f aca="false">IF(AA48="Cf.","Cf.","")</f>
        <v/>
      </c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30" t="n">
        <f aca="false">IF(ISERROR(R48*J48),0,R48*J48)</f>
        <v>0</v>
      </c>
      <c r="V48" s="217" t="n">
        <v>0</v>
      </c>
      <c r="W48" s="218"/>
      <c r="Y48" s="219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20"/>
      <c r="AB48" s="221"/>
      <c r="AC48" s="221"/>
      <c r="BC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25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5" t="n">
        <f aca="false">IF(D49="",0,VLOOKUP(D49,D$22:D48,1,0))</f>
        <v>0</v>
      </c>
      <c r="F49" s="232" t="n">
        <f aca="false">($B49*$B$7+$C49*$C$7)/100</f>
        <v>0</v>
      </c>
      <c r="G49" s="227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9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8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1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2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9"/>
      <c r="M49" s="229"/>
      <c r="N49" s="229"/>
      <c r="O49" s="214" t="str">
        <f aca="false">IF(AA49="Cf.","Cf.","")</f>
        <v/>
      </c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30" t="n">
        <f aca="false">IF(ISERROR(R49*J49),0,R49*J49)</f>
        <v>0</v>
      </c>
      <c r="V49" s="217" t="n">
        <v>0</v>
      </c>
      <c r="W49" s="218"/>
      <c r="Y49" s="219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20"/>
      <c r="AB49" s="221"/>
      <c r="AC49" s="221"/>
      <c r="BC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25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5" t="n">
        <f aca="false">IF(D50="",0,VLOOKUP(D50,D$22:D49,1,0))</f>
        <v>0</v>
      </c>
      <c r="F50" s="232" t="n">
        <f aca="false">($B50*$B$7+$C50*$C$7)/100</f>
        <v>0</v>
      </c>
      <c r="G50" s="227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9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8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1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2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9"/>
      <c r="M50" s="229"/>
      <c r="N50" s="229"/>
      <c r="O50" s="214" t="str">
        <f aca="false">IF(AA50="Cf.","Cf.","")</f>
        <v/>
      </c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30" t="n">
        <f aca="false">IF(ISERROR(R50*J50),0,R50*J50)</f>
        <v>0</v>
      </c>
      <c r="V50" s="217" t="n">
        <v>0</v>
      </c>
      <c r="W50" s="218"/>
      <c r="Y50" s="219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20"/>
      <c r="AB50" s="221"/>
      <c r="AC50" s="221"/>
      <c r="BC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25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5" t="n">
        <f aca="false">IF(D51="",0,VLOOKUP(D51,D$22:D50,1,0))</f>
        <v>0</v>
      </c>
      <c r="F51" s="232" t="n">
        <f aca="false">($B51*$B$7+$C51*$C$7)/100</f>
        <v>0</v>
      </c>
      <c r="G51" s="227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9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8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1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2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9"/>
      <c r="M51" s="229"/>
      <c r="N51" s="229"/>
      <c r="O51" s="214" t="str">
        <f aca="false">IF(AA51="Cf.","Cf.","")</f>
        <v/>
      </c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30" t="n">
        <f aca="false">IF(ISERROR(R51*J51),0,R51*J51)</f>
        <v>0</v>
      </c>
      <c r="V51" s="217" t="n">
        <v>0</v>
      </c>
      <c r="W51" s="218"/>
      <c r="Y51" s="219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20"/>
      <c r="AB51" s="221"/>
      <c r="AC51" s="221"/>
      <c r="BC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25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5" t="n">
        <f aca="false">IF(D52="",0,VLOOKUP(D52,D$22:D51,1,0))</f>
        <v>0</v>
      </c>
      <c r="F52" s="232" t="n">
        <f aca="false">($B52*$B$7+$C52*$C$7)/100</f>
        <v>0</v>
      </c>
      <c r="G52" s="227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9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8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1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2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9"/>
      <c r="M52" s="229"/>
      <c r="N52" s="229"/>
      <c r="O52" s="214" t="str">
        <f aca="false">IF(AA52="Cf.","Cf.","")</f>
        <v/>
      </c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30" t="n">
        <f aca="false">IF(ISERROR(R52*J52),0,R52*J52)</f>
        <v>0</v>
      </c>
      <c r="V52" s="217" t="n">
        <v>0</v>
      </c>
      <c r="W52" s="218"/>
      <c r="Y52" s="219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20"/>
      <c r="AB52" s="221"/>
      <c r="AC52" s="221"/>
      <c r="BC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25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5" t="n">
        <f aca="false">IF(D53="",0,VLOOKUP(D53,D$22:D52,1,0))</f>
        <v>0</v>
      </c>
      <c r="F53" s="232" t="n">
        <f aca="false">($B53*$B$7+$C53*$C$7)/100</f>
        <v>0</v>
      </c>
      <c r="G53" s="227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9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8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1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2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9"/>
      <c r="M53" s="229"/>
      <c r="N53" s="229"/>
      <c r="O53" s="214" t="str">
        <f aca="false">IF(AA53="Cf.","Cf.","")</f>
        <v/>
      </c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30" t="n">
        <f aca="false">IF(ISERROR(R53*J53),0,R53*J53)</f>
        <v>0</v>
      </c>
      <c r="V53" s="217" t="n">
        <v>0</v>
      </c>
      <c r="W53" s="218"/>
      <c r="Y53" s="219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20"/>
      <c r="AB53" s="221"/>
      <c r="AC53" s="221"/>
      <c r="BC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25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5" t="n">
        <f aca="false">IF(D54="",0,VLOOKUP(D54,D$22:D53,1,0))</f>
        <v>0</v>
      </c>
      <c r="F54" s="232" t="n">
        <f aca="false">($B54*$B$7+$C54*$C$7)/100</f>
        <v>0</v>
      </c>
      <c r="G54" s="227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9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8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1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2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9"/>
      <c r="M54" s="229"/>
      <c r="N54" s="229"/>
      <c r="O54" s="214" t="str">
        <f aca="false">IF(AA54="Cf.","Cf.","")</f>
        <v/>
      </c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30" t="n">
        <f aca="false">IF(ISERROR(R54*J54),0,R54*J54)</f>
        <v>0</v>
      </c>
      <c r="V54" s="217" t="n">
        <v>0</v>
      </c>
      <c r="W54" s="218"/>
      <c r="Y54" s="219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20"/>
      <c r="AB54" s="221"/>
      <c r="AC54" s="221"/>
      <c r="BC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25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5" t="n">
        <f aca="false">IF(D55="",0,VLOOKUP(D55,D$22:D54,1,0))</f>
        <v>0</v>
      </c>
      <c r="F55" s="232" t="n">
        <f aca="false">($B55*$B$7+$C55*$C$7)/100</f>
        <v>0</v>
      </c>
      <c r="G55" s="227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9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8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1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2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9"/>
      <c r="M55" s="229"/>
      <c r="N55" s="229"/>
      <c r="O55" s="214" t="str">
        <f aca="false">IF(AA55="Cf.","Cf.","")</f>
        <v/>
      </c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30" t="n">
        <f aca="false">IF(ISERROR(R55*J55),0,R55*J55)</f>
        <v>0</v>
      </c>
      <c r="V55" s="217" t="n">
        <v>0</v>
      </c>
      <c r="W55" s="218"/>
      <c r="Y55" s="219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20"/>
      <c r="AB55" s="221"/>
      <c r="AC55" s="221"/>
      <c r="BC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25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5" t="n">
        <f aca="false">IF(D56="",0,VLOOKUP(D56,D$22:D55,1,0))</f>
        <v>0</v>
      </c>
      <c r="F56" s="232" t="n">
        <f aca="false">($B56*$B$7+$C56*$C$7)/100</f>
        <v>0</v>
      </c>
      <c r="G56" s="227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9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8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1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2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9"/>
      <c r="M56" s="229"/>
      <c r="N56" s="229"/>
      <c r="O56" s="214" t="str">
        <f aca="false">IF(AA56="Cf.","Cf.","")</f>
        <v/>
      </c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30" t="n">
        <f aca="false">IF(ISERROR(R56*J56),0,R56*J56)</f>
        <v>0</v>
      </c>
      <c r="V56" s="217" t="n">
        <v>0</v>
      </c>
      <c r="W56" s="218"/>
      <c r="Y56" s="219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20"/>
      <c r="AB56" s="221"/>
      <c r="AC56" s="221"/>
      <c r="BC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25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5" t="n">
        <f aca="false">IF(D57="",0,VLOOKUP(D57,D$21:D56,1,0))</f>
        <v>0</v>
      </c>
      <c r="F57" s="232" t="n">
        <f aca="false">($B57*$B$7+$C57*$C$7)/100</f>
        <v>0</v>
      </c>
      <c r="G57" s="227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9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8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1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2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9"/>
      <c r="M57" s="229"/>
      <c r="N57" s="229"/>
      <c r="O57" s="214" t="str">
        <f aca="false">IF(AA57="Cf.","Cf.","")</f>
        <v/>
      </c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30" t="n">
        <f aca="false">IF(ISERROR(R57*J57),0,R57*J57)</f>
        <v>0</v>
      </c>
      <c r="V57" s="217" t="n">
        <v>0</v>
      </c>
      <c r="W57" s="218"/>
      <c r="X57" s="233"/>
      <c r="Y57" s="219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20"/>
      <c r="AB57" s="221"/>
      <c r="AC57" s="221"/>
      <c r="BC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25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5" t="n">
        <f aca="false">IF(D58="",0,VLOOKUP(D58,D$22:D57,1,0))</f>
        <v>0</v>
      </c>
      <c r="F58" s="232" t="n">
        <f aca="false">($B58*$B$7+$C58*$C$7)/100</f>
        <v>0</v>
      </c>
      <c r="G58" s="227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9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8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1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2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9"/>
      <c r="M58" s="229"/>
      <c r="N58" s="229"/>
      <c r="O58" s="214" t="str">
        <f aca="false">IF(AA58="Cf.","Cf.","")</f>
        <v/>
      </c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30" t="n">
        <f aca="false">IF(ISERROR(R58*J58),0,R58*J58)</f>
        <v>0</v>
      </c>
      <c r="V58" s="217" t="n">
        <v>0</v>
      </c>
      <c r="W58" s="218"/>
      <c r="Y58" s="219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20"/>
      <c r="AB58" s="221"/>
      <c r="AC58" s="221"/>
      <c r="BC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25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5" t="n">
        <f aca="false">IF(D59="",0,VLOOKUP(D59,D$22:D58,1,0))</f>
        <v>0</v>
      </c>
      <c r="F59" s="232" t="n">
        <f aca="false">($B59*$B$7+$C59*$C$7)/100</f>
        <v>0</v>
      </c>
      <c r="G59" s="227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9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8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1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2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4"/>
      <c r="M59" s="234"/>
      <c r="N59" s="234"/>
      <c r="O59" s="214" t="str">
        <f aca="false">IF(AA59="Cf.","Cf.","")</f>
        <v/>
      </c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30" t="n">
        <f aca="false">IF(ISERROR(R59*J59),0,R59*J59)</f>
        <v>0</v>
      </c>
      <c r="V59" s="217" t="n">
        <v>0</v>
      </c>
      <c r="W59" s="218"/>
      <c r="Y59" s="219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20"/>
      <c r="AB59" s="221"/>
      <c r="AC59" s="221"/>
      <c r="BC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25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5" t="n">
        <f aca="false">IF(D60="",0,VLOOKUP(D60,D$22:D59,1,0))</f>
        <v>0</v>
      </c>
      <c r="F60" s="232" t="n">
        <f aca="false">($B60*$B$7+$C60*$C$7)/100</f>
        <v>0</v>
      </c>
      <c r="G60" s="227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9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8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1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2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4"/>
      <c r="M60" s="234"/>
      <c r="N60" s="234"/>
      <c r="O60" s="214" t="str">
        <f aca="false">IF(AA60="Cf.","Cf.","")</f>
        <v/>
      </c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30" t="n">
        <f aca="false">IF(ISERROR(R60*J60),0,R60*J60)</f>
        <v>0</v>
      </c>
      <c r="V60" s="217" t="n">
        <v>0</v>
      </c>
      <c r="W60" s="218"/>
      <c r="Y60" s="219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20"/>
      <c r="AB60" s="221"/>
      <c r="AC60" s="221"/>
      <c r="BC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25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5" t="n">
        <f aca="false">IF(D61="",0,VLOOKUP(D61,D$22:D60,1,0))</f>
        <v>0</v>
      </c>
      <c r="F61" s="232" t="n">
        <f aca="false">($B61*$B$7+$C61*$C$7)/100</f>
        <v>0</v>
      </c>
      <c r="G61" s="227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9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8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1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2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9"/>
      <c r="M61" s="229"/>
      <c r="N61" s="229"/>
      <c r="O61" s="214" t="str">
        <f aca="false">IF(AA61="Cf.","Cf.","")</f>
        <v/>
      </c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30" t="n">
        <f aca="false">IF(ISERROR(R61*J61),0,R61*J61)</f>
        <v>0</v>
      </c>
      <c r="V61" s="217" t="n">
        <v>0</v>
      </c>
      <c r="W61" s="218"/>
      <c r="Y61" s="219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20"/>
      <c r="AB61" s="221"/>
      <c r="AC61" s="221"/>
      <c r="BC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25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5" t="n">
        <f aca="false">IF(D62="",0,VLOOKUP(D62,D$22:D61,1,0))</f>
        <v>0</v>
      </c>
      <c r="F62" s="232" t="n">
        <f aca="false">($B62*$B$7+$C62*$C$7)/100</f>
        <v>0</v>
      </c>
      <c r="G62" s="227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9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8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1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2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9"/>
      <c r="M62" s="229"/>
      <c r="N62" s="229"/>
      <c r="O62" s="214" t="str">
        <f aca="false">IF(AA62="Cf.","Cf.","")</f>
        <v/>
      </c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30" t="n">
        <f aca="false">IF(ISERROR(R62*J62),0,R62*J62)</f>
        <v>0</v>
      </c>
      <c r="V62" s="217" t="n">
        <v>0</v>
      </c>
      <c r="W62" s="218"/>
      <c r="X62" s="218"/>
      <c r="Y62" s="219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20"/>
      <c r="AB62" s="221"/>
      <c r="AC62" s="221"/>
      <c r="BC62" s="10" t="str">
        <f aca="false">IF(A62="","",1)</f>
        <v/>
      </c>
    </row>
    <row r="63" customFormat="false" ht="12.75" hidden="false" customHeight="false" outlineLevel="0" collapsed="false">
      <c r="A63" s="222"/>
      <c r="B63" s="223"/>
      <c r="C63" s="224"/>
      <c r="D63" s="225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5" t="n">
        <f aca="false">IF(D63="",0,VLOOKUP(D63,D$22:D62,1,0))</f>
        <v>0</v>
      </c>
      <c r="F63" s="232" t="n">
        <f aca="false">($B63*$B$7+$C63*$C$7)/100</f>
        <v>0</v>
      </c>
      <c r="G63" s="227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9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8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1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2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9"/>
      <c r="M63" s="229"/>
      <c r="N63" s="229"/>
      <c r="O63" s="214" t="str">
        <f aca="false">IF(AA63="Cf.","Cf.","")</f>
        <v/>
      </c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30" t="n">
        <f aca="false">IF(ISERROR(R63*J63),0,R63*J63)</f>
        <v>0</v>
      </c>
      <c r="V63" s="217" t="n">
        <v>0</v>
      </c>
      <c r="W63" s="218"/>
      <c r="Y63" s="219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20"/>
      <c r="AB63" s="221"/>
      <c r="AC63" s="221"/>
      <c r="BC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25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5" t="n">
        <f aca="false">IF(D64="",0,VLOOKUP(D64,D$22:D52,1,0))</f>
        <v>0</v>
      </c>
      <c r="F64" s="232" t="n">
        <f aca="false">($B64*$B$7+$C64*$C$7)/100</f>
        <v>0</v>
      </c>
      <c r="G64" s="227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9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8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1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2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9"/>
      <c r="M64" s="229"/>
      <c r="N64" s="229"/>
      <c r="O64" s="214" t="str">
        <f aca="false">IF(AA64="Cf.","Cf.","")</f>
        <v/>
      </c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30" t="n">
        <f aca="false">IF(ISERROR(R64*J64),0,R64*J64)</f>
        <v>0</v>
      </c>
      <c r="V64" s="217" t="n">
        <v>0</v>
      </c>
      <c r="W64" s="218"/>
      <c r="Y64" s="219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20"/>
      <c r="AB64" s="221"/>
      <c r="AC64" s="221"/>
      <c r="BC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25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5" t="n">
        <f aca="false">IF(D65="",0,VLOOKUP(D65,D$22:D53,1,0))</f>
        <v>0</v>
      </c>
      <c r="F65" s="232" t="n">
        <f aca="false">($B65*$B$7+$C65*$C$7)/100</f>
        <v>0</v>
      </c>
      <c r="G65" s="227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9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8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1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2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9"/>
      <c r="M65" s="229"/>
      <c r="N65" s="229"/>
      <c r="O65" s="214" t="str">
        <f aca="false">IF(AA65="Cf.","Cf.","")</f>
        <v/>
      </c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30" t="n">
        <f aca="false">IF(ISERROR(R65*J65),0,R65*J65)</f>
        <v>0</v>
      </c>
      <c r="V65" s="217" t="n">
        <v>0</v>
      </c>
      <c r="W65" s="218"/>
      <c r="Y65" s="219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20"/>
      <c r="AB65" s="221"/>
      <c r="AC65" s="221"/>
      <c r="BC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25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5" t="n">
        <f aca="false">IF(D66="",0,VLOOKUP(D66,D$22:D51,1,0))</f>
        <v>0</v>
      </c>
      <c r="F66" s="232" t="n">
        <f aca="false">($B66*$B$7+$C66*$C$7)/100</f>
        <v>0</v>
      </c>
      <c r="G66" s="227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9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8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1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2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9"/>
      <c r="M66" s="229"/>
      <c r="N66" s="229"/>
      <c r="O66" s="214" t="str">
        <f aca="false">IF(AA66="Cf.","Cf.","")</f>
        <v/>
      </c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30" t="n">
        <f aca="false">IF(ISERROR(R66*J66),0,R66*J66)</f>
        <v>0</v>
      </c>
      <c r="V66" s="217" t="n">
        <v>0</v>
      </c>
      <c r="W66" s="218"/>
      <c r="Y66" s="219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20"/>
      <c r="AB66" s="221"/>
      <c r="AC66" s="221"/>
      <c r="BC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25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5" t="n">
        <f aca="false">IF(D67="",0,VLOOKUP(D67,D$22:D52,1,0))</f>
        <v>0</v>
      </c>
      <c r="F67" s="232" t="n">
        <f aca="false">($B67*$B$7+$C67*$C$7)/100</f>
        <v>0</v>
      </c>
      <c r="G67" s="227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9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8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1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2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9"/>
      <c r="M67" s="229"/>
      <c r="N67" s="229"/>
      <c r="O67" s="214" t="str">
        <f aca="false">IF(AA67="Cf.","Cf.","")</f>
        <v/>
      </c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30" t="n">
        <f aca="false">IF(ISERROR(R67*J67),0,R67*J67)</f>
        <v>0</v>
      </c>
      <c r="V67" s="217" t="n">
        <v>0</v>
      </c>
      <c r="W67" s="218"/>
      <c r="Y67" s="219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20"/>
      <c r="AB67" s="221"/>
      <c r="AC67" s="221"/>
      <c r="BC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25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5" t="n">
        <f aca="false">IF(D68="",0,VLOOKUP(D68,D$22:D53,1,0))</f>
        <v>0</v>
      </c>
      <c r="F68" s="232" t="n">
        <f aca="false">($B68*$B$7+$C68*$C$7)/100</f>
        <v>0</v>
      </c>
      <c r="G68" s="227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9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8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1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2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9"/>
      <c r="M68" s="229"/>
      <c r="N68" s="229"/>
      <c r="O68" s="214" t="str">
        <f aca="false">IF(AA68="Cf.","Cf.","")</f>
        <v/>
      </c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30" t="n">
        <f aca="false">IF(ISERROR(R68*J68),0,R68*J68)</f>
        <v>0</v>
      </c>
      <c r="V68" s="217" t="n">
        <v>0</v>
      </c>
      <c r="W68" s="218"/>
      <c r="Y68" s="219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20"/>
      <c r="AB68" s="221"/>
      <c r="AC68" s="221"/>
      <c r="BC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25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5" t="n">
        <f aca="false">IF(D69="",0,VLOOKUP(D69,D$22:D54,1,0))</f>
        <v>0</v>
      </c>
      <c r="F69" s="232" t="n">
        <f aca="false">($B69*$B$7+$C69*$C$7)/100</f>
        <v>0</v>
      </c>
      <c r="G69" s="227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9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8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1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2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9"/>
      <c r="M69" s="229"/>
      <c r="N69" s="229"/>
      <c r="O69" s="214" t="str">
        <f aca="false">IF(AA69="Cf.","Cf.","")</f>
        <v/>
      </c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30" t="n">
        <f aca="false">IF(ISERROR(R69*J69),0,R69*J69)</f>
        <v>0</v>
      </c>
      <c r="V69" s="217" t="n">
        <v>0</v>
      </c>
      <c r="W69" s="218"/>
      <c r="Y69" s="219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20"/>
      <c r="AB69" s="221"/>
      <c r="AC69" s="221"/>
      <c r="BC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25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5" t="n">
        <f aca="false">IF(D70="",0,VLOOKUP(D70,D$22:D55,1,0))</f>
        <v>0</v>
      </c>
      <c r="F70" s="232" t="n">
        <f aca="false">($B70*$B$7+$C70*$C$7)/100</f>
        <v>0</v>
      </c>
      <c r="G70" s="227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9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8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1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2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9"/>
      <c r="M70" s="229"/>
      <c r="N70" s="229"/>
      <c r="O70" s="214" t="str">
        <f aca="false">IF(AA70="Cf.","Cf.","")</f>
        <v/>
      </c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30" t="n">
        <f aca="false">IF(ISERROR(R70*J70),0,R70*J70)</f>
        <v>0</v>
      </c>
      <c r="V70" s="217" t="n">
        <v>0</v>
      </c>
      <c r="W70" s="218"/>
      <c r="Y70" s="219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20"/>
      <c r="AB70" s="221"/>
      <c r="AC70" s="221"/>
      <c r="BC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25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5" t="n">
        <f aca="false">IF(D71="",0,VLOOKUP(D71,D$22:D56,1,0))</f>
        <v>0</v>
      </c>
      <c r="F71" s="232" t="n">
        <f aca="false">($B71*$B$7+$C71*$C$7)/100</f>
        <v>0</v>
      </c>
      <c r="G71" s="227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9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8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1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2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9"/>
      <c r="M71" s="229"/>
      <c r="N71" s="229"/>
      <c r="O71" s="214" t="str">
        <f aca="false">IF(AA71="Cf.","Cf.","")</f>
        <v/>
      </c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30" t="n">
        <f aca="false">IF(ISERROR(R71*J71),0,R71*J71)</f>
        <v>0</v>
      </c>
      <c r="V71" s="217" t="n">
        <v>0</v>
      </c>
      <c r="W71" s="218"/>
      <c r="Y71" s="219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20"/>
      <c r="AB71" s="221"/>
      <c r="AC71" s="221"/>
      <c r="BC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25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5" t="n">
        <f aca="false">IF(D72="",0,VLOOKUP(D72,D$22:D57,1,0))</f>
        <v>0</v>
      </c>
      <c r="F72" s="232" t="n">
        <f aca="false">($B72*$B$7+$C72*$C$7)/100</f>
        <v>0</v>
      </c>
      <c r="G72" s="227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9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8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1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2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9"/>
      <c r="M72" s="229"/>
      <c r="N72" s="229"/>
      <c r="O72" s="214" t="str">
        <f aca="false">IF(AA72="Cf.","Cf.","")</f>
        <v/>
      </c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30" t="n">
        <f aca="false">IF(ISERROR(R72*J72),0,R72*J72)</f>
        <v>0</v>
      </c>
      <c r="V72" s="217" t="n">
        <v>0</v>
      </c>
      <c r="W72" s="218"/>
      <c r="Y72" s="219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20"/>
      <c r="AB72" s="221"/>
      <c r="AC72" s="221"/>
      <c r="BC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25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5" t="n">
        <f aca="false">IF(D73="",0,VLOOKUP(D73,D$22:D57,1,0))</f>
        <v>0</v>
      </c>
      <c r="F73" s="232" t="n">
        <f aca="false">($B73*$B$7+$C73*$C$7)/100</f>
        <v>0</v>
      </c>
      <c r="G73" s="227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9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8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1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2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9"/>
      <c r="M73" s="229"/>
      <c r="N73" s="229"/>
      <c r="O73" s="214" t="str">
        <f aca="false">IF(AA73="Cf.","Cf.","")</f>
        <v/>
      </c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30" t="n">
        <f aca="false">IF(ISERROR(R73*J73),0,R73*J73)</f>
        <v>0</v>
      </c>
      <c r="V73" s="217" t="n">
        <v>0</v>
      </c>
      <c r="W73" s="218"/>
      <c r="Y73" s="219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20"/>
      <c r="AB73" s="221"/>
      <c r="AC73" s="221"/>
      <c r="BC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25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5" t="n">
        <f aca="false">IF(D74="",0,VLOOKUP(D74,D$22:D58,1,0))</f>
        <v>0</v>
      </c>
      <c r="F74" s="232" t="n">
        <f aca="false">($B74*$B$7+$C74*$C$7)/100</f>
        <v>0</v>
      </c>
      <c r="G74" s="227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9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8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1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2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9"/>
      <c r="M74" s="229"/>
      <c r="N74" s="229"/>
      <c r="O74" s="214" t="str">
        <f aca="false">IF(AA74="Cf.","Cf.","")</f>
        <v/>
      </c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30" t="n">
        <f aca="false">IF(ISERROR(R74*J74),0,R74*J74)</f>
        <v>0</v>
      </c>
      <c r="V74" s="217" t="n">
        <v>0</v>
      </c>
      <c r="W74" s="218"/>
      <c r="Y74" s="219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20"/>
      <c r="AB74" s="221"/>
      <c r="AC74" s="221"/>
      <c r="BC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25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5" t="n">
        <f aca="false">IF(D75="",0,VLOOKUP(D75,D$22:D59,1,0))</f>
        <v>0</v>
      </c>
      <c r="F75" s="232" t="n">
        <f aca="false">($B75*$B$7+$C75*$C$7)/100</f>
        <v>0</v>
      </c>
      <c r="G75" s="227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9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8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1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2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9"/>
      <c r="M75" s="229"/>
      <c r="N75" s="229"/>
      <c r="O75" s="214" t="str">
        <f aca="false">IF(AA75="Cf.","Cf.","")</f>
        <v/>
      </c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30" t="n">
        <f aca="false">IF(ISERROR(R75*J75),0,R75*J75)</f>
        <v>0</v>
      </c>
      <c r="V75" s="217" t="n">
        <v>0</v>
      </c>
      <c r="W75" s="218"/>
      <c r="Y75" s="219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20"/>
      <c r="AB75" s="221"/>
      <c r="AC75" s="221"/>
      <c r="BC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25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5" t="n">
        <f aca="false">IF(D76="",0,VLOOKUP(D76,D$22:D59,1,0))</f>
        <v>0</v>
      </c>
      <c r="F76" s="232" t="n">
        <f aca="false">($B76*$B$7+$C76*$C$7)/100</f>
        <v>0</v>
      </c>
      <c r="G76" s="227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9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8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1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2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9"/>
      <c r="M76" s="229"/>
      <c r="N76" s="229"/>
      <c r="O76" s="214" t="str">
        <f aca="false">IF(AA76="Cf.","Cf.","")</f>
        <v/>
      </c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30" t="n">
        <f aca="false">IF(ISERROR(R76*J76),0,R76*J76)</f>
        <v>0</v>
      </c>
      <c r="V76" s="217" t="n">
        <v>0</v>
      </c>
      <c r="W76" s="218"/>
      <c r="Y76" s="219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20"/>
      <c r="AB76" s="221"/>
      <c r="AC76" s="221"/>
      <c r="BC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25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5" t="n">
        <f aca="false">IF(D77="",0,VLOOKUP(D77,D$22:D75,1,0))</f>
        <v>0</v>
      </c>
      <c r="F77" s="232" t="n">
        <f aca="false">($B77*$B$7+$C77*$C$7)/100</f>
        <v>0</v>
      </c>
      <c r="G77" s="227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9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8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1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2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9"/>
      <c r="M77" s="229"/>
      <c r="N77" s="229"/>
      <c r="O77" s="214" t="str">
        <f aca="false">IF(AA77="Cf.","Cf.","")</f>
        <v/>
      </c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30" t="n">
        <f aca="false">IF(ISERROR(R77*J77),0,R77*J77)</f>
        <v>0</v>
      </c>
      <c r="V77" s="217" t="n">
        <v>0</v>
      </c>
      <c r="W77" s="218"/>
      <c r="Y77" s="219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20"/>
      <c r="AB77" s="221"/>
      <c r="AC77" s="221"/>
      <c r="BC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25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5" t="n">
        <f aca="false">IF(D78="",0,VLOOKUP(D78,D$22:D75,1,0))</f>
        <v>0</v>
      </c>
      <c r="F78" s="232" t="n">
        <f aca="false">($B78*$B$7+$C78*$C$7)/100</f>
        <v>0</v>
      </c>
      <c r="G78" s="227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9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8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1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2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9"/>
      <c r="M78" s="229"/>
      <c r="N78" s="229"/>
      <c r="O78" s="214" t="str">
        <f aca="false">IF(AA78="Cf.","Cf.","")</f>
        <v/>
      </c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30" t="n">
        <f aca="false">IF(ISERROR(R78*J78),0,R78*J78)</f>
        <v>0</v>
      </c>
      <c r="V78" s="217" t="n">
        <v>0</v>
      </c>
      <c r="W78" s="218"/>
      <c r="Y78" s="219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20"/>
      <c r="AB78" s="221"/>
      <c r="AC78" s="221"/>
      <c r="BC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25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5" t="n">
        <f aca="false">IF(D79="",0,VLOOKUP(D79,D$22:D75,1,0))</f>
        <v>0</v>
      </c>
      <c r="F79" s="232" t="n">
        <f aca="false">($B79*$B$7+$C79*$C$7)/100</f>
        <v>0</v>
      </c>
      <c r="G79" s="227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9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8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1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2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9"/>
      <c r="M79" s="229"/>
      <c r="N79" s="229"/>
      <c r="O79" s="214" t="str">
        <f aca="false">IF(AA79="Cf.","Cf.","")</f>
        <v/>
      </c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30" t="n">
        <f aca="false">IF(ISERROR(R79*J79),0,R79*J79)</f>
        <v>0</v>
      </c>
      <c r="V79" s="217" t="n">
        <v>0</v>
      </c>
      <c r="W79" s="218"/>
      <c r="Y79" s="219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20"/>
      <c r="AB79" s="221"/>
      <c r="AC79" s="221"/>
      <c r="BC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25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5" t="n">
        <f aca="false">IF(D80="",0,VLOOKUP(D80,D$22:D79,1,0))</f>
        <v>0</v>
      </c>
      <c r="F80" s="232" t="n">
        <f aca="false">($B80*$B$7+$C80*$C$7)/100</f>
        <v>0</v>
      </c>
      <c r="G80" s="227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9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8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1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2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9"/>
      <c r="M80" s="229"/>
      <c r="N80" s="229"/>
      <c r="O80" s="214" t="str">
        <f aca="false">IF(AA80="Cf.","Cf.","")</f>
        <v/>
      </c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30" t="n">
        <f aca="false">IF(ISERROR(R80*J80),0,R80*J80)</f>
        <v>0</v>
      </c>
      <c r="V80" s="217" t="n">
        <v>0</v>
      </c>
      <c r="W80" s="218"/>
      <c r="Y80" s="219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20"/>
      <c r="AB80" s="221"/>
      <c r="AC80" s="221"/>
      <c r="BC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25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5" t="n">
        <f aca="false">IF(D81="",0,VLOOKUP(D81,D$21:D80,1,0))</f>
        <v>0</v>
      </c>
      <c r="F81" s="232" t="n">
        <f aca="false">($B81*$B$7+$C81*$C$7)/100</f>
        <v>0</v>
      </c>
      <c r="G81" s="227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9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8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1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2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4"/>
      <c r="M81" s="234"/>
      <c r="N81" s="234"/>
      <c r="O81" s="214" t="str">
        <f aca="false">IF(AA81="Cf.","Cf.","")</f>
        <v/>
      </c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30" t="n">
        <f aca="false">IF(ISERROR(R81*J81),0,R81*J81)</f>
        <v>0</v>
      </c>
      <c r="V81" s="217" t="n">
        <v>0</v>
      </c>
      <c r="W81" s="218"/>
      <c r="X81" s="236"/>
      <c r="Y81" s="219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20"/>
      <c r="AB81" s="221"/>
      <c r="AC81" s="221"/>
      <c r="BC81" s="10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9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3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3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2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4"/>
      <c r="M82" s="244"/>
      <c r="N82" s="244"/>
      <c r="O82" s="214" t="str">
        <f aca="false">IF(AA82="Cf.","Cf.","")</f>
        <v/>
      </c>
      <c r="P82" s="245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30" t="n">
        <f aca="false">IF(ISERROR(R82*J82),0,R82*J82)</f>
        <v>0</v>
      </c>
      <c r="V82" s="217" t="n">
        <v>0</v>
      </c>
      <c r="W82" s="246"/>
      <c r="X82" s="247"/>
      <c r="Y82" s="219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20"/>
      <c r="AB82" s="221"/>
      <c r="AC82" s="221"/>
      <c r="BC82" s="10" t="str">
        <f aca="false">IF(A82="","",1)</f>
        <v/>
      </c>
    </row>
    <row r="83" customFormat="false" ht="15" hidden="true" customHeight="false" outlineLevel="0" collapsed="false">
      <c r="A83" s="248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49"/>
      <c r="P83" s="249"/>
      <c r="Q83" s="249"/>
      <c r="R83" s="249"/>
      <c r="S83" s="249"/>
      <c r="T83" s="10"/>
      <c r="U83" s="10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true" customHeight="false" outlineLevel="0" collapsed="false">
      <c r="A84" s="252" t="str">
        <f aca="false">A3</f>
        <v>SURAN</v>
      </c>
      <c r="B84" s="253" t="str">
        <f aca="false">C3</f>
        <v>NEUVILLE SUR AIN </v>
      </c>
      <c r="C84" s="254" t="n">
        <f aca="false">A4</f>
        <v>41088</v>
      </c>
      <c r="D84" s="255" t="n">
        <f aca="false">IF(ISERROR(SUM($T$23:$T$82)/SUM($U$23:$U$82)),"",SUM($T$23:$T$82)/SUM($U$23:$U$82))</f>
        <v>9.38666666666667</v>
      </c>
      <c r="E84" s="256" t="n">
        <f aca="false">N13</f>
        <v>20</v>
      </c>
      <c r="F84" s="253" t="n">
        <f aca="false">N14</f>
        <v>17</v>
      </c>
      <c r="G84" s="253" t="n">
        <f aca="false">N15</f>
        <v>7</v>
      </c>
      <c r="H84" s="253" t="n">
        <f aca="false">N16</f>
        <v>9</v>
      </c>
      <c r="I84" s="253" t="n">
        <f aca="false">N17</f>
        <v>1</v>
      </c>
      <c r="J84" s="257" t="n">
        <f aca="false">N8</f>
        <v>9.35294117647059</v>
      </c>
      <c r="K84" s="255" t="n">
        <f aca="false">N9</f>
        <v>2.89268855199165</v>
      </c>
      <c r="L84" s="256" t="n">
        <f aca="false">N10</f>
        <v>4</v>
      </c>
      <c r="M84" s="256" t="n">
        <f aca="false">N11</f>
        <v>14</v>
      </c>
      <c r="N84" s="255" t="n">
        <f aca="false">O8</f>
        <v>1.64705882352941</v>
      </c>
      <c r="O84" s="255" t="n">
        <f aca="false">O9</f>
        <v>0.606339062590833</v>
      </c>
      <c r="P84" s="256" t="n">
        <f aca="false">O10</f>
        <v>1</v>
      </c>
      <c r="Q84" s="256" t="n">
        <f aca="false">O11</f>
        <v>3</v>
      </c>
      <c r="R84" s="256" t="n">
        <f aca="false">F21</f>
        <v>135.7</v>
      </c>
      <c r="S84" s="256" t="n">
        <f aca="false">K11</f>
        <v>0</v>
      </c>
      <c r="T84" s="256" t="n">
        <f aca="false">K12</f>
        <v>4</v>
      </c>
      <c r="U84" s="256" t="n">
        <f aca="false">K13</f>
        <v>4</v>
      </c>
      <c r="V84" s="258" t="n">
        <f aca="false">K14</f>
        <v>0</v>
      </c>
      <c r="W84" s="259" t="n">
        <f aca="false">K15</f>
        <v>12</v>
      </c>
      <c r="Z84" s="260"/>
      <c r="AA84" s="260"/>
      <c r="AB84" s="251"/>
      <c r="AC84" s="251"/>
      <c r="AD84" s="25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1" t="s">
        <v>99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100</v>
      </c>
      <c r="R87" s="10"/>
      <c r="S87" s="217" t="n">
        <f aca="false">VLOOKUP(MAX($S$23:$S$82),($S$23:$U$82),1,0)</f>
        <v>52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101</v>
      </c>
      <c r="R88" s="10"/>
      <c r="S88" s="217" t="n">
        <f aca="false">VLOOKUP((S87),($S$23:$U$82),2,0)</f>
        <v>156</v>
      </c>
      <c r="T88" s="10"/>
      <c r="U88" s="10"/>
      <c r="V88" s="10"/>
    </row>
    <row r="89" customFormat="false" ht="12.75" hidden="false" customHeight="false" outlineLevel="0" collapsed="false">
      <c r="Q89" s="10" t="s">
        <v>102</v>
      </c>
      <c r="R89" s="10"/>
      <c r="S89" s="217" t="n">
        <f aca="false">VLOOKUP((S87),($S$23:$U$82),3,0)</f>
        <v>12</v>
      </c>
      <c r="T89" s="10"/>
    </row>
    <row r="90" customFormat="false" ht="12.75" hidden="false" customHeight="false" outlineLevel="0" collapsed="false">
      <c r="Q90" s="10" t="s">
        <v>103</v>
      </c>
      <c r="R90" s="10"/>
      <c r="S90" s="262" t="n">
        <f aca="false">IF(ISERROR(SUM($T$23:$T$82)/SUM($U$23:$U$82)),"",(SUM($T$23:$T$82)-S88)/(SUM($U$23:$U$82)-S89))</f>
        <v>8.6984126984127</v>
      </c>
      <c r="T90" s="10"/>
    </row>
    <row r="91" customFormat="false" ht="12.75" hidden="false" customHeight="false" outlineLevel="0" collapsed="false">
      <c r="Q91" s="216" t="s">
        <v>104</v>
      </c>
      <c r="R91" s="216"/>
      <c r="S91" s="216" t="str">
        <f aca="false">INDEX('[1]liste reference'!$A$7:$A$892,$T$91)</f>
        <v>CINDAN</v>
      </c>
      <c r="T91" s="10" t="n">
        <f aca="false">IF(ISERROR(MATCH($S$93,'[1]liste reference'!$A$7:$A$892,0)),MATCH($S$93,'[1]liste reference'!$B$7:$B$892,0),(MATCH($S$93,'[1]liste reference'!$A$7:$A$892,0)))</f>
        <v>174</v>
      </c>
      <c r="U91" s="251"/>
    </row>
    <row r="92" customFormat="false" ht="12.75" hidden="false" customHeight="false" outlineLevel="0" collapsed="false">
      <c r="Q92" s="10" t="s">
        <v>105</v>
      </c>
      <c r="R92" s="10"/>
      <c r="S92" s="10" t="n">
        <f aca="false">MATCH(S87,$S$23:$S$82,0)</f>
        <v>6</v>
      </c>
      <c r="T92" s="10"/>
    </row>
    <row r="93" customFormat="false" ht="12.75" hidden="false" customHeight="false" outlineLevel="0" collapsed="false">
      <c r="Q93" s="216" t="s">
        <v>106</v>
      </c>
      <c r="R93" s="10"/>
      <c r="S93" s="216" t="str">
        <f aca="false">INDEX($A$23:$A$82,$S$92)</f>
        <v>CINDAN</v>
      </c>
      <c r="T93" s="10"/>
    </row>
    <row r="94" customFormat="false" ht="12.75" hidden="false" customHeight="false" outlineLevel="0" collapsed="false">
      <c r="S94" s="25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2013-04-16T10:07:46Z</dcterms:created>
  <dc:creator>Laurent Bourgoin</dc:creator>
  <dc:description/>
  <dc:language>fr-FR</dc:language>
  <cp:lastModifiedBy>IMBERT Loïc</cp:lastModifiedBy>
  <dcterms:modified xsi:type="dcterms:W3CDTF">2013-10-03T14:22:14Z</dcterms:modified>
  <cp:revision>0</cp:revision>
  <dc:subject/>
  <dc:title/>
</cp:coreProperties>
</file>