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<sst xmlns="http://schemas.openxmlformats.org/spreadsheetml/2006/main" count="217" uniqueCount="113">
  <si>
    <t>Relevés floristiques aquatiques - IBMR</t>
  </si>
  <si>
    <t>modèle Irstea-GIS</t>
  </si>
  <si>
    <t>SAGE ENVIRONNEMENT</t>
  </si>
  <si>
    <t>CBERNARD L BOURGOIN</t>
  </si>
  <si>
    <t>OUVEZE</t>
  </si>
  <si>
    <t>OUVEZE A BUIS LES BARONNIES</t>
  </si>
  <si>
    <t>06580901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</si>
  <si>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</si>
  <si>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</si>
  <si>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</si>
  <si>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</si>
  <si>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</si>
  <si>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</si>
  <si>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</si>
  <si>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</si>
  <si>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</si>
  <si>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PHRAUS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</si>
  <si>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</si>
  <si>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</si>
  <si>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</si>
  <si>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</si>
  <si>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</si>
  <si>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</si>
  <si>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</si>
  <si>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</si>
  <si>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</si>
  <si>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</si>
  <si>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</si>
  <si>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</si>
  <si>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</si>
  <si>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</si>
  <si>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</si>
  <si>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</si>
  <si>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</si>
  <si>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</si>
  <si>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</si>
  <si>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</si>
  <si>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</si>
  <si>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</si>
  <si>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</si>
  <si>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</si>
  <si>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</si>
  <si>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</si>
  <si>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</si>
  <si>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</si>
  <si>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</si>
  <si>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</si>
  <si>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</si>
  <si>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</si>
  <si>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</si>
  <si>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</si>
  <si>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</si>
  <si>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</si>
  <si>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</si>
  <si>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</si>
  <si>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</si>
  <si>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</si>
  <si>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</si>
  <si>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</si>
  <si>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</si>
  <si>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</si>
  <si>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</si>
  <si>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</si>
  <si>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</si>
  <si>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</si>
  <si>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</si>
  <si>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</si>
  <si>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</si>
  <si>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</si>
  <si>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</si>
  <si>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</si>
  <si>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</si>
  <si>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</si>
  <si>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</si>
  <si>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</si>
  <si>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</si>
  <si>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</si>
  <si>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</si>
  <si>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</si>
  <si>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</si>
  <si>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BANSPX</t>
  </si>
  <si>
    <t xml:space="preserve"> -</t>
  </si>
  <si>
    <t>BATSPX</t>
  </si>
  <si>
    <t>CHAVUL</t>
  </si>
  <si>
    <t>CLASPX</t>
  </si>
  <si>
    <t>LYNSPX</t>
  </si>
  <si>
    <t>NOSSPX</t>
  </si>
  <si>
    <t>OEDSPX</t>
  </si>
  <si>
    <t>PHOSPX</t>
  </si>
  <si>
    <t>SPISPX</t>
  </si>
  <si>
    <t>TOYSPX</t>
  </si>
  <si>
    <t>BRYPSE</t>
  </si>
  <si>
    <t>BRYSPX</t>
  </si>
  <si>
    <t>FISCRA</t>
  </si>
  <si>
    <t>PALCOM</t>
  </si>
  <si>
    <t>RHYRIP</t>
  </si>
  <si>
    <t>SCSRIV</t>
  </si>
  <si>
    <t>EQUSPX</t>
  </si>
  <si>
    <t>GRODEN</t>
  </si>
  <si>
    <t>GLYFLU</t>
  </si>
  <si>
    <t>LYCEUR</t>
  </si>
  <si>
    <t>MENAQU</t>
  </si>
  <si>
    <t>MENLON</t>
  </si>
  <si>
    <t>JUNART</t>
  </si>
  <si>
    <t>LYTSAL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</si>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</sst>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OUBUI_19-05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C31" sqref="AC31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42143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11.2</v>
      </c>
      <c r="N5" s="50"/>
      <c r="O5" s="51" t="s">
        <v>16</v>
      </c>
      <c r="P5" s="52">
        <v>11.655172413793103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11.333333333333334</v>
      </c>
      <c r="P8" s="85">
        <f>IF(ISERROR(AVERAGE(K23:K82)),"  ",AVERAGE(K23:K82))</f>
        <v>1.6666666666666667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0.82</v>
      </c>
      <c r="C9" s="88">
        <v>70.89</v>
      </c>
      <c r="D9" s="89"/>
      <c r="E9" s="89"/>
      <c r="F9" s="90">
        <f>($B9*$B$7+$C9*$C$7)/100</f>
        <v>7.826999999999999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2.748737083745107</v>
      </c>
      <c r="P9" s="85">
        <f>IF(ISERROR(STDEVP(K23:K82)),"  ",STDEVP(K23:K82))</f>
        <v>0.5773502691896257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16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0.64</v>
      </c>
      <c r="C12" s="114">
        <v>0.8</v>
      </c>
      <c r="D12" s="89"/>
      <c r="E12" s="89"/>
      <c r="F12" s="106">
        <f>($B12*$B$7+$C12*$C$7)/100</f>
        <v>0.6559999999999999</v>
      </c>
      <c r="G12" s="107"/>
      <c r="H12" s="56"/>
      <c r="I12" s="5"/>
      <c r="J12" s="108" t="s">
        <v>38</v>
      </c>
      <c r="K12" s="109"/>
      <c r="L12" s="110">
        <f>COUNTIF($G$23:$G$82,"=ALG")</f>
        <v>10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0.05</v>
      </c>
      <c r="C13" s="114">
        <v>0.02</v>
      </c>
      <c r="D13" s="89"/>
      <c r="E13" s="89"/>
      <c r="F13" s="106">
        <f>($B13*$B$7+$C13*$C$7)/100</f>
        <v>0.047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6</v>
      </c>
      <c r="M13" s="111"/>
      <c r="N13" s="120" t="s">
        <v>41</v>
      </c>
      <c r="O13" s="121">
        <f>COUNTIF(F23:F82,"&gt;0")</f>
        <v>25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1</v>
      </c>
      <c r="M14" s="111"/>
      <c r="N14" s="123" t="s">
        <v>44</v>
      </c>
      <c r="O14" s="124">
        <f>COUNTIF($J$23:$J$82,"&gt;-1")</f>
        <v>18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0.13</v>
      </c>
      <c r="C15" s="128">
        <v>70.07</v>
      </c>
      <c r="D15" s="89"/>
      <c r="E15" s="89"/>
      <c r="F15" s="106">
        <f>($B15*$B$7+$C15*$C$7)/100</f>
        <v>7.124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8</v>
      </c>
      <c r="M15" s="111"/>
      <c r="N15" s="120" t="s">
        <v>47</v>
      </c>
      <c r="O15" s="121">
        <f>COUNTIF(K23:K82,"=1")</f>
        <v>7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10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0.71</v>
      </c>
      <c r="C17" s="114">
        <v>0.82</v>
      </c>
      <c r="D17" s="89"/>
      <c r="E17" s="89"/>
      <c r="F17" s="133"/>
      <c r="G17" s="134">
        <f>($B17*$B$7+$C17*$C$7)/100</f>
        <v>0.721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0.72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>
        <v>0.11</v>
      </c>
      <c r="C18" s="143">
        <v>70.07</v>
      </c>
      <c r="D18" s="89"/>
      <c r="E18" s="144" t="s">
        <v>54</v>
      </c>
      <c r="F18" s="133"/>
      <c r="G18" s="134">
        <f>($B18*$B$7+$C18*$C$7)/100</f>
        <v>7.105999999999999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7.827</v>
      </c>
      <c r="G19" s="157">
        <f>SUM(G16:G18)</f>
        <v>7.826999999999999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0.8200000000000001</v>
      </c>
      <c r="C20" s="167">
        <f>SUM(C23:C62)</f>
        <v>70.89000000000001</v>
      </c>
      <c r="D20" s="168"/>
      <c r="E20" s="169" t="s">
        <v>54</v>
      </c>
      <c r="F20" s="170">
        <f>($B20*$B$7+$C20*$C$7)/100</f>
        <v>7.827000000000001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0.7380000000000001</v>
      </c>
      <c r="C21" s="178">
        <f>C20*C7/100</f>
        <v>7.089000000000001</v>
      </c>
      <c r="D21" s="179" t="s">
        <v>58</v>
      </c>
      <c r="E21" s="180"/>
      <c r="F21" s="181">
        <f>B21+C21</f>
        <v>7.827000000000002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0.02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Bangia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0.018000000000000002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10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Bangia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1153</v>
      </c>
      <c r="R23" s="219">
        <f aca="true" t="shared" si="2" ref="R23:R82">IF(ISTEXT(H23),"",(B23*$B$7/100)+(C23*$C$7/100))</f>
        <v>0.018000000000000002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10</v>
      </c>
      <c r="U23" s="220">
        <f aca="true" t="shared" si="5" ref="U23:U82">IF(ISERROR(S23*J23*K23),0,S23*J23*K23)</f>
        <v>20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BANSPX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9</v>
      </c>
    </row>
    <row r="24" spans="1:26" ht="12.75">
      <c r="A24" s="224" t="s">
        <v>82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Batrachospermum sp.</v>
      </c>
      <c r="E24" s="228" t="e">
        <f>IF(D24="",,VLOOKUP(D24,D$22:D23,1,0))</f>
        <v>#N/A</v>
      </c>
      <c r="F24" s="229">
        <f t="shared" si="0"/>
        <v>0.009000000000000001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Batrachospermum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1155</v>
      </c>
      <c r="R24" s="219">
        <f t="shared" si="2"/>
        <v>0.009000000000000001</v>
      </c>
      <c r="S24" s="220">
        <f t="shared" si="3"/>
        <v>1</v>
      </c>
      <c r="T24" s="220">
        <f t="shared" si="4"/>
        <v>16</v>
      </c>
      <c r="U24" s="220">
        <f t="shared" si="5"/>
        <v>32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BATSPX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10</v>
      </c>
    </row>
    <row r="25" spans="1:26" ht="12.75">
      <c r="A25" s="224" t="s">
        <v>83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Chara vulgaris</v>
      </c>
      <c r="E25" s="228" t="e">
        <f>IF(D25="",,VLOOKUP(D25,D$22:D24,1,0))</f>
        <v>#N/A</v>
      </c>
      <c r="F25" s="229">
        <f t="shared" si="0"/>
        <v>0.009000000000000001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Chara vulgaris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5261</v>
      </c>
      <c r="R25" s="219">
        <f t="shared" si="2"/>
        <v>0.009000000000000001</v>
      </c>
      <c r="S25" s="220">
        <f t="shared" si="3"/>
        <v>1</v>
      </c>
      <c r="T25" s="220">
        <f t="shared" si="4"/>
        <v>13</v>
      </c>
      <c r="U25" s="220">
        <f t="shared" si="5"/>
        <v>13</v>
      </c>
      <c r="V25" s="236">
        <f t="shared" si="6"/>
        <v>1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CHAVUL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32</v>
      </c>
    </row>
    <row r="26" spans="1:26" ht="12.75">
      <c r="A26" s="224" t="s">
        <v>84</v>
      </c>
      <c r="B26" s="225">
        <v>0.45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Cladophora sp.</v>
      </c>
      <c r="E26" s="228" t="e">
        <f>IF(D26="",,VLOOKUP(D26,D$22:D25,1,0))</f>
        <v>#N/A</v>
      </c>
      <c r="F26" s="229">
        <f t="shared" si="0"/>
        <v>0.405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6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Cladophora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1124</v>
      </c>
      <c r="R26" s="219">
        <f t="shared" si="2"/>
        <v>0.405</v>
      </c>
      <c r="S26" s="220">
        <f t="shared" si="3"/>
        <v>2</v>
      </c>
      <c r="T26" s="220">
        <f t="shared" si="4"/>
        <v>12</v>
      </c>
      <c r="U26" s="220">
        <f t="shared" si="5"/>
        <v>12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CLASPX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35</v>
      </c>
    </row>
    <row r="27" spans="1:26" ht="12.75">
      <c r="A27" s="224" t="s">
        <v>85</v>
      </c>
      <c r="B27" s="225">
        <v>0.04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Lyngbya sp.</v>
      </c>
      <c r="E27" s="228" t="e">
        <f>IF(D27="",,VLOOKUP(D27,D$22:D26,1,0))</f>
        <v>#N/A</v>
      </c>
      <c r="F27" s="229">
        <f t="shared" si="0"/>
        <v>0.036000000000000004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Lyngbya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1107</v>
      </c>
      <c r="R27" s="219">
        <f t="shared" si="2"/>
        <v>0.036000000000000004</v>
      </c>
      <c r="S27" s="220">
        <f t="shared" si="3"/>
        <v>1</v>
      </c>
      <c r="T27" s="220">
        <f t="shared" si="4"/>
        <v>10</v>
      </c>
      <c r="U27" s="220">
        <f t="shared" si="5"/>
        <v>20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LYNSPX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61</v>
      </c>
    </row>
    <row r="28" spans="1:26" ht="12.75">
      <c r="A28" s="224" t="s">
        <v>86</v>
      </c>
      <c r="B28" s="225">
        <v>0.01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Nostoc sp.</v>
      </c>
      <c r="E28" s="228" t="e">
        <f>IF(D28="",,VLOOKUP(D28,D$22:D27,1,0))</f>
        <v>#N/A</v>
      </c>
      <c r="F28" s="229">
        <f t="shared" si="0"/>
        <v>0.009000000000000001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9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Nostoc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1105</v>
      </c>
      <c r="R28" s="219">
        <f t="shared" si="2"/>
        <v>0.009000000000000001</v>
      </c>
      <c r="S28" s="220">
        <f t="shared" si="3"/>
        <v>1</v>
      </c>
      <c r="T28" s="220">
        <f t="shared" si="4"/>
        <v>9</v>
      </c>
      <c r="U28" s="220">
        <f t="shared" si="5"/>
        <v>9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NOSSPX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84</v>
      </c>
    </row>
    <row r="29" spans="1:26" ht="12.75">
      <c r="A29" s="224" t="s">
        <v>87</v>
      </c>
      <c r="B29" s="225">
        <v>0.01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Oedogonium sp.</v>
      </c>
      <c r="E29" s="228" t="e">
        <f>IF(D29="",,VLOOKUP(D29,D$22:D28,1,0))</f>
        <v>#N/A</v>
      </c>
      <c r="F29" s="229">
        <f t="shared" si="0"/>
        <v>0.009000000000000001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6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Oedogonium sp.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1134</v>
      </c>
      <c r="R29" s="219">
        <f t="shared" si="2"/>
        <v>0.009000000000000001</v>
      </c>
      <c r="S29" s="220">
        <f t="shared" si="3"/>
        <v>1</v>
      </c>
      <c r="T29" s="220">
        <f t="shared" si="4"/>
        <v>6</v>
      </c>
      <c r="U29" s="220">
        <f t="shared" si="5"/>
        <v>12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OEDSPX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85</v>
      </c>
    </row>
    <row r="30" spans="1:26" ht="12.75">
      <c r="A30" s="224" t="s">
        <v>88</v>
      </c>
      <c r="B30" s="225">
        <v>0.02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Phormidium sp.</v>
      </c>
      <c r="E30" s="228" t="e">
        <f>IF(D30="",,VLOOKUP(D30,D$22:D29,1,0))</f>
        <v>#N/A</v>
      </c>
      <c r="F30" s="229">
        <f t="shared" si="0"/>
        <v>0.018000000000000002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13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Phormidium sp.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6414</v>
      </c>
      <c r="R30" s="219">
        <f t="shared" si="2"/>
        <v>0.018000000000000002</v>
      </c>
      <c r="S30" s="220">
        <f t="shared" si="3"/>
        <v>1</v>
      </c>
      <c r="T30" s="220">
        <f t="shared" si="4"/>
        <v>13</v>
      </c>
      <c r="U30" s="220">
        <f t="shared" si="5"/>
        <v>26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PHOSPX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88</v>
      </c>
    </row>
    <row r="31" spans="1:26" ht="12.75">
      <c r="A31" s="224" t="s">
        <v>89</v>
      </c>
      <c r="B31" s="225">
        <v>0</v>
      </c>
      <c r="C31" s="226">
        <v>0.8000000000000002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Spirogyra sp.</v>
      </c>
      <c r="E31" s="228" t="e">
        <f>IF(D31="",,VLOOKUP(D31,D$22:D30,1,0))</f>
        <v>#N/A</v>
      </c>
      <c r="F31" s="229">
        <f t="shared" si="0"/>
        <v>0.08000000000000002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ALG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2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10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Spirogyra sp.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1147</v>
      </c>
      <c r="R31" s="219">
        <f t="shared" si="2"/>
        <v>0.08000000000000002</v>
      </c>
      <c r="S31" s="220">
        <f t="shared" si="3"/>
        <v>1</v>
      </c>
      <c r="T31" s="220">
        <f t="shared" si="4"/>
        <v>10</v>
      </c>
      <c r="U31" s="220">
        <f t="shared" si="5"/>
        <v>10</v>
      </c>
      <c r="V31" s="236">
        <f t="shared" si="6"/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SPISPX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102</v>
      </c>
    </row>
    <row r="32" spans="1:26" ht="12.75">
      <c r="A32" s="224" t="s">
        <v>90</v>
      </c>
      <c r="B32" s="225">
        <v>0.06999999999999999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Tolypothrix sp.</v>
      </c>
      <c r="E32" s="228" t="e">
        <f>IF(D32="",,VLOOKUP(D32,D$22:D31,1,0))</f>
        <v>#N/A</v>
      </c>
      <c r="F32" s="229">
        <f t="shared" si="0"/>
        <v>0.06299999999999999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ALG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2</v>
      </c>
      <c r="I32" s="5">
        <f t="shared" si="1"/>
        <v>1</v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nc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nc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Tolypothrix sp.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6304</v>
      </c>
      <c r="R32" s="219">
        <f t="shared" si="2"/>
        <v>0.06299999999999999</v>
      </c>
      <c r="S32" s="220">
        <f t="shared" si="3"/>
        <v>1</v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TOYSPX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113</v>
      </c>
    </row>
    <row r="33" spans="1:26" ht="12.75">
      <c r="A33" s="224" t="s">
        <v>91</v>
      </c>
      <c r="B33" s="225">
        <v>0.015</v>
      </c>
      <c r="C33" s="226">
        <v>0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Bryum pseudotriquetrum</v>
      </c>
      <c r="E33" s="228" t="e">
        <f>IF(D33="",,VLOOKUP(D33,D$22:D32,1,0))</f>
        <v>#N/A</v>
      </c>
      <c r="F33" s="229">
        <f t="shared" si="0"/>
        <v>0.013499999999999998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 t="shared" si="1"/>
        <v>1</v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nc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nc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Bryum pseudotriquetrum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1274</v>
      </c>
      <c r="R33" s="219">
        <f t="shared" si="2"/>
        <v>0.013499999999999998</v>
      </c>
      <c r="S33" s="220">
        <f t="shared" si="3"/>
        <v>1</v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BRYPSE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211</v>
      </c>
    </row>
    <row r="34" spans="1:26" ht="12.75">
      <c r="A34" s="224" t="s">
        <v>92</v>
      </c>
      <c r="B34" s="225">
        <v>0.005</v>
      </c>
      <c r="C34" s="226">
        <v>0.01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Bryum sp.</v>
      </c>
      <c r="E34" s="228" t="e">
        <f>IF(D34="",,VLOOKUP(D34,D$22:D33,1,0))</f>
        <v>#N/A</v>
      </c>
      <c r="F34" s="229">
        <f t="shared" si="0"/>
        <v>0.0055000000000000005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BRm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5</v>
      </c>
      <c r="I34" s="5">
        <f t="shared" si="1"/>
        <v>1</v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nc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nc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Bryum sp.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1272</v>
      </c>
      <c r="R34" s="219">
        <f t="shared" si="2"/>
        <v>0.0055000000000000005</v>
      </c>
      <c r="S34" s="220">
        <f t="shared" si="3"/>
        <v>1</v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BRYSPX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213</v>
      </c>
    </row>
    <row r="35" spans="1:26" ht="12.75">
      <c r="A35" s="224" t="s">
        <v>93</v>
      </c>
      <c r="B35" s="225">
        <v>0.01</v>
      </c>
      <c r="C35" s="226">
        <v>0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Fissidens crassipes</v>
      </c>
      <c r="E35" s="228" t="e">
        <f>IF(D35="",,VLOOKUP(D35,D$22:D34,1,0))</f>
        <v>#N/A</v>
      </c>
      <c r="F35" s="229">
        <f t="shared" si="0"/>
        <v>0.009000000000000001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BRm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5</v>
      </c>
      <c r="I35" s="5">
        <f t="shared" si="1"/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12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Fissidens crassipes</v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1294</v>
      </c>
      <c r="R35" s="219">
        <f t="shared" si="2"/>
        <v>0.009000000000000001</v>
      </c>
      <c r="S35" s="220">
        <f t="shared" si="3"/>
        <v>1</v>
      </c>
      <c r="T35" s="220">
        <f t="shared" si="4"/>
        <v>12</v>
      </c>
      <c r="U35" s="220">
        <f t="shared" si="5"/>
        <v>24</v>
      </c>
      <c r="V35" s="236">
        <f t="shared" si="6"/>
        <v>2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FISCRA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255</v>
      </c>
    </row>
    <row r="36" spans="1:26" ht="12.75">
      <c r="A36" s="224" t="s">
        <v>94</v>
      </c>
      <c r="B36" s="225">
        <v>0.01</v>
      </c>
      <c r="C36" s="226">
        <v>0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Palustriella commutata</v>
      </c>
      <c r="E36" s="228" t="e">
        <f>IF(D36="",,VLOOKUP(D36,D$22:D35,1,0))</f>
        <v>#N/A</v>
      </c>
      <c r="F36" s="229">
        <f t="shared" si="0"/>
        <v>0.009000000000000001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BRm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5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15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Palustriella commutata</v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19903</v>
      </c>
      <c r="R36" s="219">
        <f t="shared" si="2"/>
        <v>0.009000000000000001</v>
      </c>
      <c r="S36" s="220">
        <f t="shared" si="3"/>
        <v>1</v>
      </c>
      <c r="T36" s="220">
        <f t="shared" si="4"/>
        <v>15</v>
      </c>
      <c r="U36" s="220">
        <f t="shared" si="5"/>
        <v>30</v>
      </c>
      <c r="V36" s="236">
        <f t="shared" si="6"/>
        <v>2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PALCOM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309</v>
      </c>
    </row>
    <row r="37" spans="1:26" ht="12.75">
      <c r="A37" s="224" t="s">
        <v>95</v>
      </c>
      <c r="B37" s="225">
        <v>0</v>
      </c>
      <c r="C37" s="226">
        <v>0.01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Rhynchostegium riparioides</v>
      </c>
      <c r="E37" s="228" t="e">
        <f>IF(D37="",,VLOOKUP(D37,D$22:D36,1,0))</f>
        <v>#N/A</v>
      </c>
      <c r="F37" s="229">
        <f t="shared" si="0"/>
        <v>0.001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BRm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5</v>
      </c>
      <c r="I37" s="5">
        <f t="shared" si="1"/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12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1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Rhynchostegium riparioides</v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31691</v>
      </c>
      <c r="R37" s="219">
        <f t="shared" si="2"/>
        <v>0.001</v>
      </c>
      <c r="S37" s="220">
        <f t="shared" si="3"/>
        <v>1</v>
      </c>
      <c r="T37" s="220">
        <f t="shared" si="4"/>
        <v>12</v>
      </c>
      <c r="U37" s="220">
        <f t="shared" si="5"/>
        <v>12</v>
      </c>
      <c r="V37" s="236">
        <f t="shared" si="6"/>
        <v>1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RHYRIP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345</v>
      </c>
    </row>
    <row r="38" spans="1:26" ht="12.75">
      <c r="A38" s="224" t="s">
        <v>96</v>
      </c>
      <c r="B38" s="225">
        <v>0.01</v>
      </c>
      <c r="C38" s="226">
        <v>0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Schistidium rivulare</v>
      </c>
      <c r="E38" s="228" t="e">
        <f>IF(D38="",,VLOOKUP(D38,D$22:D37,1,0))</f>
        <v>#N/A</v>
      </c>
      <c r="F38" s="229">
        <f t="shared" si="0"/>
        <v>0.009000000000000001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BRm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5</v>
      </c>
      <c r="I38" s="5">
        <f t="shared" si="1"/>
        <v>1</v>
      </c>
      <c r="J38" s="232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15</v>
      </c>
      <c r="K38" s="232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3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Schistidium rivulare</v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1327</v>
      </c>
      <c r="R38" s="219">
        <f t="shared" si="2"/>
        <v>0.009000000000000001</v>
      </c>
      <c r="S38" s="220">
        <f t="shared" si="3"/>
        <v>1</v>
      </c>
      <c r="T38" s="220">
        <f t="shared" si="4"/>
        <v>15</v>
      </c>
      <c r="U38" s="220">
        <f t="shared" si="5"/>
        <v>45</v>
      </c>
      <c r="V38" s="236">
        <f t="shared" si="6"/>
        <v>3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SCSRIV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350</v>
      </c>
    </row>
    <row r="39" spans="1:26" ht="12.75">
      <c r="A39" s="224" t="s">
        <v>97</v>
      </c>
      <c r="B39" s="225">
        <v>0.01</v>
      </c>
      <c r="C39" s="226">
        <v>0.01</v>
      </c>
      <c r="D39" s="227" t="str">
        <f>IF(ISERROR(VLOOKUP($A39,'[1]liste reference'!$A$6:$B$1174,2,0)),IF(ISERROR(VLOOKUP($A39,'[1]liste reference'!$B$6:$B$1174,1,0)),"",VLOOKUP($A39,'[1]liste reference'!$B$6:$B$1174,1,0)),VLOOKUP($A39,'[1]liste reference'!$A$6:$B$1174,2,0))</f>
        <v>Equisetum sp.</v>
      </c>
      <c r="E39" s="228" t="e">
        <f>IF(D39="",,VLOOKUP(D39,D$22:D38,1,0))</f>
        <v>#N/A</v>
      </c>
      <c r="F39" s="229">
        <f t="shared" si="0"/>
        <v>0.01</v>
      </c>
      <c r="G39" s="230" t="str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  <v>PTE</v>
      </c>
      <c r="H39" s="231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6</v>
      </c>
      <c r="I39" s="5">
        <f t="shared" si="1"/>
        <v>1</v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nc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nc</v>
      </c>
      <c r="L39" s="215" t="str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  <v>Equisetum sp.</v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  <v>1383</v>
      </c>
      <c r="R39" s="219">
        <f t="shared" si="2"/>
        <v>0.010000000000000002</v>
      </c>
      <c r="S39" s="220">
        <f t="shared" si="3"/>
        <v>1</v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 t="str">
        <f>IF(AND(ISNUMBER(F39),OR(A39="",A39="!!!!!!")),"!!!!!!",IF(A39="new.cod","NEWCOD",IF(AND((Z39=""),ISTEXT(A39),A39&lt;&gt;"!!!!!!"),A39,IF(Z39="","",INDEX('[1]liste reference'!$A$6:$A$1174,Z39)))))</f>
        <v>EQUSPX</v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  <v>391</v>
      </c>
    </row>
    <row r="40" spans="1:26" ht="12.75">
      <c r="A40" s="224" t="s">
        <v>98</v>
      </c>
      <c r="B40" s="225">
        <v>0.01</v>
      </c>
      <c r="C40" s="226">
        <v>0</v>
      </c>
      <c r="D40" s="227" t="str">
        <f>IF(ISERROR(VLOOKUP($A40,'[1]liste reference'!$A$6:$B$1174,2,0)),IF(ISERROR(VLOOKUP($A40,'[1]liste reference'!$B$6:$B$1174,1,0)),"",VLOOKUP($A40,'[1]liste reference'!$B$6:$B$1174,1,0)),VLOOKUP($A40,'[1]liste reference'!$A$6:$B$1174,2,0))</f>
        <v>Groenlandia densa</v>
      </c>
      <c r="E40" s="228" t="e">
        <f>IF(D40="",,VLOOKUP(D40,D$22:D39,1,0))</f>
        <v>#N/A</v>
      </c>
      <c r="F40" s="229">
        <f t="shared" si="0"/>
        <v>0.009000000000000001</v>
      </c>
      <c r="G40" s="230" t="str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  <v>PHy</v>
      </c>
      <c r="H40" s="231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7</v>
      </c>
      <c r="I40" s="5">
        <f t="shared" si="1"/>
        <v>1</v>
      </c>
      <c r="J40" s="232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11</v>
      </c>
      <c r="K40" s="232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2</v>
      </c>
      <c r="L40" s="215" t="str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  <v>Groenlandia densa</v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  <v>1638</v>
      </c>
      <c r="R40" s="219">
        <f t="shared" si="2"/>
        <v>0.009000000000000001</v>
      </c>
      <c r="S40" s="220">
        <f t="shared" si="3"/>
        <v>1</v>
      </c>
      <c r="T40" s="220">
        <f t="shared" si="4"/>
        <v>11</v>
      </c>
      <c r="U40" s="220">
        <f t="shared" si="5"/>
        <v>22</v>
      </c>
      <c r="V40" s="236">
        <f t="shared" si="6"/>
        <v>2</v>
      </c>
      <c r="W40" s="237"/>
      <c r="X40" s="238"/>
      <c r="Y40" s="223" t="str">
        <f>IF(AND(ISNUMBER(F40),OR(A40="",A40="!!!!!!")),"!!!!!!",IF(A40="new.cod","NEWCOD",IF(AND((Z40=""),ISTEXT(A40),A40&lt;&gt;"!!!!!!"),A40,IF(Z40="","",INDEX('[1]liste reference'!$A$6:$A$1174,Z40)))))</f>
        <v>GRODEN</v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  <v>458</v>
      </c>
    </row>
    <row r="41" spans="1:26" ht="12.75">
      <c r="A41" s="224" t="s">
        <v>99</v>
      </c>
      <c r="B41" s="225">
        <v>0.01</v>
      </c>
      <c r="C41" s="226">
        <v>0.01</v>
      </c>
      <c r="D41" s="227" t="str">
        <f>IF(ISERROR(VLOOKUP($A41,'[1]liste reference'!$A$6:$B$1174,2,0)),IF(ISERROR(VLOOKUP($A41,'[1]liste reference'!$B$6:$B$1174,1,0)),"",VLOOKUP($A41,'[1]liste reference'!$B$6:$B$1174,1,0)),VLOOKUP($A41,'[1]liste reference'!$A$6:$B$1174,2,0))</f>
        <v>Glyceria fluitans</v>
      </c>
      <c r="E41" s="228" t="e">
        <f>IF(D41="",,VLOOKUP(D41,D$22:D40,1,0))</f>
        <v>#N/A</v>
      </c>
      <c r="F41" s="229">
        <f t="shared" si="0"/>
        <v>0.01</v>
      </c>
      <c r="G41" s="230" t="str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  <v>PHe</v>
      </c>
      <c r="H41" s="231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8</v>
      </c>
      <c r="I41" s="5">
        <f t="shared" si="1"/>
        <v>1</v>
      </c>
      <c r="J41" s="232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14</v>
      </c>
      <c r="K41" s="232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2</v>
      </c>
      <c r="L41" s="215" t="str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  <v>Glyceria fluitans</v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  <v>1564</v>
      </c>
      <c r="R41" s="219">
        <f t="shared" si="2"/>
        <v>0.010000000000000002</v>
      </c>
      <c r="S41" s="220">
        <f t="shared" si="3"/>
        <v>1</v>
      </c>
      <c r="T41" s="220">
        <f t="shared" si="4"/>
        <v>14</v>
      </c>
      <c r="U41" s="220">
        <f t="shared" si="5"/>
        <v>28</v>
      </c>
      <c r="V41" s="236">
        <f t="shared" si="6"/>
        <v>2</v>
      </c>
      <c r="W41" s="237"/>
      <c r="X41" s="238"/>
      <c r="Y41" s="223" t="str">
        <f>IF(AND(ISNUMBER(F41),OR(A41="",A41="!!!!!!")),"!!!!!!",IF(A41="new.cod","NEWCOD",IF(AND((Z41=""),ISTEXT(A41),A41&lt;&gt;"!!!!!!"),A41,IF(Z41="","",INDEX('[1]liste reference'!$A$6:$A$1174,Z41)))))</f>
        <v>GLYFLU</v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  <v>676</v>
      </c>
    </row>
    <row r="42" spans="1:26" ht="12.75">
      <c r="A42" s="224" t="s">
        <v>100</v>
      </c>
      <c r="B42" s="225">
        <v>0</v>
      </c>
      <c r="C42" s="226">
        <v>0.01</v>
      </c>
      <c r="D42" s="227" t="str">
        <f>IF(ISERROR(VLOOKUP($A42,'[1]liste reference'!$A$6:$B$1174,2,0)),IF(ISERROR(VLOOKUP($A42,'[1]liste reference'!$B$6:$B$1174,1,0)),"",VLOOKUP($A42,'[1]liste reference'!$B$6:$B$1174,1,0)),VLOOKUP($A42,'[1]liste reference'!$A$6:$B$1174,2,0))</f>
        <v>Lycopus europaeus</v>
      </c>
      <c r="E42" s="228" t="e">
        <f>IF(D42="",,VLOOKUP(D42,D$22:D41,1,0))</f>
        <v>#N/A</v>
      </c>
      <c r="F42" s="229">
        <f t="shared" si="0"/>
        <v>0.001</v>
      </c>
      <c r="G42" s="230" t="str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  <v>PHe</v>
      </c>
      <c r="H42" s="231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8</v>
      </c>
      <c r="I42" s="5">
        <f t="shared" si="1"/>
        <v>1</v>
      </c>
      <c r="J42" s="232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11</v>
      </c>
      <c r="K42" s="232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1</v>
      </c>
      <c r="L42" s="215" t="str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  <v>Lycopus europaeus</v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  <v>1789</v>
      </c>
      <c r="R42" s="219">
        <f t="shared" si="2"/>
        <v>0.001</v>
      </c>
      <c r="S42" s="220">
        <f t="shared" si="3"/>
        <v>1</v>
      </c>
      <c r="T42" s="220">
        <f t="shared" si="4"/>
        <v>11</v>
      </c>
      <c r="U42" s="220">
        <f t="shared" si="5"/>
        <v>11</v>
      </c>
      <c r="V42" s="236">
        <f t="shared" si="6"/>
        <v>1</v>
      </c>
      <c r="W42" s="237"/>
      <c r="X42" s="238"/>
      <c r="Y42" s="223" t="str">
        <f>IF(AND(ISNUMBER(F42),OR(A42="",A42="!!!!!!")),"!!!!!!",IF(A42="new.cod","NEWCOD",IF(AND((Z42=""),ISTEXT(A42),A42&lt;&gt;"!!!!!!"),A42,IF(Z42="","",INDEX('[1]liste reference'!$A$6:$A$1174,Z42)))))</f>
        <v>LYCEUR</v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  <v>692</v>
      </c>
    </row>
    <row r="43" spans="1:26" ht="12.75">
      <c r="A43" s="224" t="s">
        <v>101</v>
      </c>
      <c r="B43" s="225">
        <v>0</v>
      </c>
      <c r="C43" s="226">
        <v>0.01</v>
      </c>
      <c r="D43" s="227" t="str">
        <f>IF(ISERROR(VLOOKUP($A43,'[1]liste reference'!$A$6:$B$1174,2,0)),IF(ISERROR(VLOOKUP($A43,'[1]liste reference'!$B$6:$B$1174,1,0)),"",VLOOKUP($A43,'[1]liste reference'!$B$6:$B$1174,1,0)),VLOOKUP($A43,'[1]liste reference'!$A$6:$B$1174,2,0))</f>
        <v>Mentha aquatica</v>
      </c>
      <c r="E43" s="228" t="e">
        <f>IF(D43="",,VLOOKUP(D43,D$22:D42,1,0))</f>
        <v>#N/A</v>
      </c>
      <c r="F43" s="229">
        <f t="shared" si="0"/>
        <v>0.001</v>
      </c>
      <c r="G43" s="230" t="str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  <v>PHe</v>
      </c>
      <c r="H43" s="231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8</v>
      </c>
      <c r="I43" s="5">
        <f t="shared" si="1"/>
        <v>1</v>
      </c>
      <c r="J43" s="232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12</v>
      </c>
      <c r="K43" s="232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1</v>
      </c>
      <c r="L43" s="215" t="str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  <v>Mentha aquatica</v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  <v>1791</v>
      </c>
      <c r="R43" s="219">
        <f t="shared" si="2"/>
        <v>0.001</v>
      </c>
      <c r="S43" s="220">
        <f t="shared" si="3"/>
        <v>1</v>
      </c>
      <c r="T43" s="220">
        <f t="shared" si="4"/>
        <v>12</v>
      </c>
      <c r="U43" s="220">
        <f t="shared" si="5"/>
        <v>12</v>
      </c>
      <c r="V43" s="236">
        <f t="shared" si="6"/>
        <v>1</v>
      </c>
      <c r="W43" s="237"/>
      <c r="X43" s="238"/>
      <c r="Y43" s="223" t="str">
        <f>IF(AND(ISNUMBER(F43),OR(A43="",A43="!!!!!!")),"!!!!!!",IF(A43="new.cod","NEWCOD",IF(AND((Z43=""),ISTEXT(A43),A43&lt;&gt;"!!!!!!"),A43,IF(Z43="","",INDEX('[1]liste reference'!$A$6:$A$1174,Z43)))))</f>
        <v>MENAQU</v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  <v>694</v>
      </c>
    </row>
    <row r="44" spans="1:26" ht="12.75">
      <c r="A44" s="224" t="s">
        <v>102</v>
      </c>
      <c r="B44" s="225">
        <v>0</v>
      </c>
      <c r="C44" s="226">
        <v>0.01</v>
      </c>
      <c r="D44" s="227" t="str">
        <f>IF(ISERROR(VLOOKUP($A44,'[1]liste reference'!$A$6:$B$1174,2,0)),IF(ISERROR(VLOOKUP($A44,'[1]liste reference'!$B$6:$B$1174,1,0)),"",VLOOKUP($A44,'[1]liste reference'!$B$6:$B$1174,1,0)),VLOOKUP($A44,'[1]liste reference'!$A$6:$B$1174,2,0))</f>
        <v>Mentha longifolia</v>
      </c>
      <c r="E44" s="228" t="e">
        <f>IF(D44="",,VLOOKUP(D44,D$22:D43,1,0))</f>
        <v>#N/A</v>
      </c>
      <c r="F44" s="229">
        <f t="shared" si="0"/>
        <v>0.001</v>
      </c>
      <c r="G44" s="230" t="str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  <v>PHe</v>
      </c>
      <c r="H44" s="231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8</v>
      </c>
      <c r="I44" s="5">
        <f t="shared" si="1"/>
        <v>1</v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nc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nc</v>
      </c>
      <c r="L44" s="215" t="str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  <v>Mentha longifolia</v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  <v>19856</v>
      </c>
      <c r="R44" s="219">
        <f t="shared" si="2"/>
        <v>0.001</v>
      </c>
      <c r="S44" s="220">
        <f t="shared" si="3"/>
        <v>1</v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 t="str">
        <f>IF(AND(ISNUMBER(F44),OR(A44="",A44="!!!!!!")),"!!!!!!",IF(A44="new.cod","NEWCOD",IF(AND((Z44=""),ISTEXT(A44),A44&lt;&gt;"!!!!!!"),A44,IF(Z44="","",INDEX('[1]liste reference'!$A$6:$A$1174,Z44)))))</f>
        <v>MENLON</v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  <v>695</v>
      </c>
    </row>
    <row r="45" spans="1:26" ht="12.75">
      <c r="A45" s="224" t="s">
        <v>16</v>
      </c>
      <c r="B45" s="225">
        <v>0.1</v>
      </c>
      <c r="C45" s="226">
        <v>70</v>
      </c>
      <c r="D45" s="227" t="str">
        <f>IF(ISERROR(VLOOKUP($A45,'[1]liste reference'!$A$6:$B$1174,2,0)),IF(ISERROR(VLOOKUP($A45,'[1]liste reference'!$B$6:$B$1174,1,0)),"",VLOOKUP($A45,'[1]liste reference'!$B$6:$B$1174,1,0)),VLOOKUP($A45,'[1]liste reference'!$A$6:$B$1174,2,0))</f>
        <v>Phragmites australis</v>
      </c>
      <c r="E45" s="228" t="e">
        <f>IF(D45="",,VLOOKUP(D45,D$22:D44,1,0))</f>
        <v>#N/A</v>
      </c>
      <c r="F45" s="229">
        <f t="shared" si="0"/>
        <v>7.09</v>
      </c>
      <c r="G45" s="230" t="str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  <v>PHe</v>
      </c>
      <c r="H45" s="231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8</v>
      </c>
      <c r="I45" s="5">
        <f t="shared" si="1"/>
        <v>1</v>
      </c>
      <c r="J45" s="232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9</v>
      </c>
      <c r="K45" s="232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2</v>
      </c>
      <c r="L45" s="215" t="str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  <v>Phragmites australis</v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  <v>1579</v>
      </c>
      <c r="R45" s="219">
        <f t="shared" si="2"/>
        <v>7.09</v>
      </c>
      <c r="S45" s="220">
        <f t="shared" si="3"/>
        <v>3</v>
      </c>
      <c r="T45" s="220">
        <f t="shared" si="4"/>
        <v>27</v>
      </c>
      <c r="U45" s="220">
        <f t="shared" si="5"/>
        <v>54</v>
      </c>
      <c r="V45" s="236">
        <f t="shared" si="6"/>
        <v>6</v>
      </c>
      <c r="W45" s="237"/>
      <c r="X45" s="238"/>
      <c r="Y45" s="223" t="str">
        <f>IF(AND(ISNUMBER(F45),OR(A45="",A45="!!!!!!")),"!!!!!!",IF(A45="new.cod","NEWCOD",IF(AND((Z45=""),ISTEXT(A45),A45&lt;&gt;"!!!!!!"),A45,IF(Z45="","",INDEX('[1]liste reference'!$A$6:$A$1174,Z45)))))</f>
        <v>PHRAUS</v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  <v>709</v>
      </c>
    </row>
    <row r="46" spans="1:26" ht="12.75">
      <c r="A46" s="224" t="s">
        <v>103</v>
      </c>
      <c r="B46" s="225">
        <v>0</v>
      </c>
      <c r="C46" s="226">
        <v>0.01</v>
      </c>
      <c r="D46" s="227" t="str">
        <f>IF(ISERROR(VLOOKUP($A46,'[1]liste reference'!$A$6:$B$1174,2,0)),IF(ISERROR(VLOOKUP($A46,'[1]liste reference'!$B$6:$B$1174,1,0)),"",VLOOKUP($A46,'[1]liste reference'!$B$6:$B$1174,1,0)),VLOOKUP($A46,'[1]liste reference'!$A$6:$B$1174,2,0))</f>
        <v>Juncus articulatus</v>
      </c>
      <c r="E46" s="228" t="e">
        <f>IF(D46="",,VLOOKUP(D46,D$22:D45,1,0))</f>
        <v>#N/A</v>
      </c>
      <c r="F46" s="229">
        <f t="shared" si="0"/>
        <v>0.001</v>
      </c>
      <c r="G46" s="230" t="str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  <v>PHg</v>
      </c>
      <c r="H46" s="231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9</v>
      </c>
      <c r="I46" s="5">
        <f t="shared" si="1"/>
        <v>1</v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nc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nc</v>
      </c>
      <c r="L46" s="215" t="str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  <v>Juncus articulatus</v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  <v>1609</v>
      </c>
      <c r="R46" s="219">
        <f t="shared" si="2"/>
        <v>0.001</v>
      </c>
      <c r="S46" s="220">
        <f t="shared" si="3"/>
        <v>1</v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 t="str">
        <f>IF(AND(ISNUMBER(F46),OR(A46="",A46="!!!!!!")),"!!!!!!",IF(A46="new.cod","NEWCOD",IF(AND((Z46=""),ISTEXT(A46),A46&lt;&gt;"!!!!!!"),A46,IF(Z46="","",INDEX('[1]liste reference'!$A$6:$A$1174,Z46)))))</f>
        <v>JUNART</v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  <v>873</v>
      </c>
    </row>
    <row r="47" spans="1:26" ht="12.75">
      <c r="A47" s="224" t="s">
        <v>104</v>
      </c>
      <c r="B47" s="225">
        <v>0</v>
      </c>
      <c r="C47" s="226">
        <v>0.01</v>
      </c>
      <c r="D47" s="227" t="str">
        <f>IF(ISERROR(VLOOKUP($A47,'[1]liste reference'!$A$6:$B$1174,2,0)),IF(ISERROR(VLOOKUP($A47,'[1]liste reference'!$B$6:$B$1174,1,0)),"",VLOOKUP($A47,'[1]liste reference'!$B$6:$B$1174,1,0)),VLOOKUP($A47,'[1]liste reference'!$A$6:$B$1174,2,0))</f>
        <v>Lythrum salicaria</v>
      </c>
      <c r="E47" s="228" t="e">
        <f>IF(D47="",,VLOOKUP(D47,D$22:D46,1,0))</f>
        <v>#N/A</v>
      </c>
      <c r="F47" s="229">
        <f t="shared" si="0"/>
        <v>0.001</v>
      </c>
      <c r="G47" s="230" t="str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  <v>PHg</v>
      </c>
      <c r="H47" s="231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9</v>
      </c>
      <c r="I47" s="5">
        <f t="shared" si="1"/>
        <v>1</v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nc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nc</v>
      </c>
      <c r="L47" s="215" t="str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  <v>Lythrum salicaria</v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  <v>1823</v>
      </c>
      <c r="R47" s="219">
        <f t="shared" si="2"/>
        <v>0.001</v>
      </c>
      <c r="S47" s="220">
        <f t="shared" si="3"/>
        <v>1</v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 t="str">
        <f>IF(AND(ISNUMBER(F47),OR(A47="",A47="!!!!!!")),"!!!!!!",IF(A47="new.cod","NEWCOD",IF(AND((Z47=""),ISTEXT(A47),A47&lt;&gt;"!!!!!!"),A47,IF(Z47="","",INDEX('[1]liste reference'!$A$6:$A$1174,Z47)))))</f>
        <v>LYTSAL</v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  <v>902</v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7.827000000000001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35</v>
      </c>
      <c r="W83" s="220"/>
      <c r="X83" s="258"/>
      <c r="Y83" s="258"/>
      <c r="Z83" s="259"/>
    </row>
    <row r="84" spans="1:26" ht="12.75" hidden="1">
      <c r="A84" s="253" t="str">
        <f>A3</f>
        <v>OUVEZE</v>
      </c>
      <c r="B84" s="187" t="str">
        <f>C3</f>
        <v>OUVEZE A BUIS LES BARONNIES</v>
      </c>
      <c r="C84" s="260" t="str">
        <f>A4</f>
        <v>(Date)</v>
      </c>
      <c r="D84" s="261">
        <f>IF(OR(ISERROR(SUM($U$23:$U$82)/SUM($V$23:$V$82)),F7&lt;&gt;100),-1,SUM($U$23:$U$82)/SUM($V$23:$V$82))</f>
        <v>11.2</v>
      </c>
      <c r="E84" s="262">
        <f>O13</f>
        <v>25</v>
      </c>
      <c r="F84" s="187">
        <f>O14</f>
        <v>18</v>
      </c>
      <c r="G84" s="187">
        <f>O15</f>
        <v>7</v>
      </c>
      <c r="H84" s="187">
        <f>O16</f>
        <v>10</v>
      </c>
      <c r="I84" s="187">
        <f>O17</f>
        <v>1</v>
      </c>
      <c r="J84" s="263">
        <f>O8</f>
        <v>11.333333333333334</v>
      </c>
      <c r="K84" s="264">
        <f>O9</f>
        <v>2.748737083745107</v>
      </c>
      <c r="L84" s="265">
        <f>O10</f>
        <v>6</v>
      </c>
      <c r="M84" s="265">
        <f>O11</f>
        <v>16</v>
      </c>
      <c r="N84" s="264">
        <f>P8</f>
        <v>1.6666666666666667</v>
      </c>
      <c r="O84" s="264">
        <f>P9</f>
        <v>0.5773502691896257</v>
      </c>
      <c r="P84" s="265">
        <f>P10</f>
        <v>1</v>
      </c>
      <c r="Q84" s="265">
        <f>P11</f>
        <v>3</v>
      </c>
      <c r="R84" s="265">
        <f>F21</f>
        <v>7.827000000000002</v>
      </c>
      <c r="S84" s="265">
        <f>L11</f>
        <v>0</v>
      </c>
      <c r="T84" s="265">
        <f>L12</f>
        <v>10</v>
      </c>
      <c r="U84" s="265">
        <f>L13</f>
        <v>6</v>
      </c>
      <c r="V84" s="266">
        <f>L15</f>
        <v>8</v>
      </c>
      <c r="W84" s="267">
        <f>L15</f>
        <v>8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105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106</v>
      </c>
      <c r="S87" s="5"/>
      <c r="T87" s="272">
        <f>VLOOKUP($T$91,($A$23:$U$82),20,FALSE)</f>
        <v>27</v>
      </c>
      <c r="U87" s="5"/>
      <c r="V87" s="5"/>
    </row>
    <row r="88" spans="3:22" ht="12.75" hidden="1">
      <c r="C88" s="269"/>
      <c r="D88" s="269"/>
      <c r="E88" s="269"/>
      <c r="R88" s="5" t="s">
        <v>107</v>
      </c>
      <c r="S88" s="5"/>
      <c r="T88" s="272">
        <f>VLOOKUP($T$91,($A$23:$U$82),21,FALSE)</f>
        <v>54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108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109</v>
      </c>
      <c r="S90" s="5" t="s">
        <v>10</v>
      </c>
      <c r="T90" s="273">
        <f>IF(OR(ISERROR(SUM($U$23:$U$82)/SUM($V$23:$V$82)),F7&lt;&gt;100),-1,(SUM($U$23:$U$82)-T88)/(SUM($V$23:$V$82)-T89))</f>
        <v>11.655172413793103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110</v>
      </c>
      <c r="S91" s="220"/>
      <c r="T91" s="220" t="str">
        <f>INDEX('[1]liste reference'!$A$6:$A$1174,$U$91)</f>
        <v>PHRAUS</v>
      </c>
      <c r="U91" s="5">
        <f>IF(ISERROR(MATCH($T$93,'[1]liste reference'!$A$6:$A$1174,0)),MATCH($T$93,'[1]liste reference'!$B$6:$B$1174,0),(MATCH($T$93,'[1]liste reference'!$A$6:$A$1174,0)))</f>
        <v>709</v>
      </c>
      <c r="V91" s="274"/>
    </row>
    <row r="92" spans="3:21" ht="12.75" hidden="1">
      <c r="C92" s="269"/>
      <c r="D92" s="269"/>
      <c r="E92" s="269"/>
      <c r="R92" s="5" t="s">
        <v>111</v>
      </c>
      <c r="S92" s="5"/>
      <c r="T92" s="5">
        <f>MATCH(T89,$V$23:$V$82,0)</f>
        <v>23</v>
      </c>
      <c r="U92" s="5"/>
    </row>
    <row r="93" spans="3:21" ht="12.75" hidden="1">
      <c r="C93" s="269"/>
      <c r="D93" s="269"/>
      <c r="E93" s="269"/>
      <c r="R93" s="220" t="s">
        <v>112</v>
      </c>
      <c r="S93" s="5"/>
      <c r="T93" s="220" t="str">
        <f>INDEX($A$23:$A$82,$T$92)</f>
        <v>PHRAUS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2015-12-28T14:20:53Z</dcterms:created>
  <dcterms:modified xsi:type="dcterms:W3CDTF">2015-12-28T14:20:55Z</dcterms:modified>
  <cp:category/>
  <cp:version/>
  <cp:contentType/>
  <cp:contentStatus/>
</cp:coreProperties>
</file>