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<sst xmlns="http://schemas.openxmlformats.org/spreadsheetml/2006/main" count="103" uniqueCount="98">
  <si>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</si>
  <si>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</si>
  <si>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</si>
  <si>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S.RENAHY</t>
  </si>
  <si>
    <t xml:space="preserve">conforme AFNOR T90-395 oct. 2003</t>
  </si>
  <si>
    <t xml:space="preserve">Gresse</t>
  </si>
  <si>
    <t xml:space="preserve">GRESSE A VARCES ALLIERES ET RISSET</t>
  </si>
  <si>
    <t xml:space="preserve">06580960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</si>
  <si>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</si>
  <si>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</si>
  <si>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</si>
  <si>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</si>
  <si>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</si>
  <si>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</si>
  <si>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</si>
  <si>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</si>
  <si>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</si>
  <si>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</si>
  <si>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</si>
  <si>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</si>
  <si>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</si>
  <si>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</si>
  <si>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</si>
  <si>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</si>
  <si>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</si>
  <si>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</si>
  <si>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</si>
  <si>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</si>
  <si>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</si>
  <si>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</si>
  <si>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</si>
  <si>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</si>
  <si>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</si>
  <si>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</si>
  <si>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</si>
  <si>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</si>
  <si>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</si>
  <si>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</si>
  <si>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</si>
  <si>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</si>
  <si>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</si>
  <si>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</si>
  <si>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</si>
  <si>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</si>
  <si>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</si>
  <si>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</si>
  <si>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</si>
  <si>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</si>
  <si>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</si>
  <si>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</si>
  <si>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</si>
  <si>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</si>
  <si>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</si>
  <si>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</si>
  <si>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</si>
  <si>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</si>
  <si>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</si>
  <si>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</si>
  <si>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</si>
  <si>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</si>
  <si>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</si>
  <si>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</si>
  <si>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</si>
  <si>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</si>
  <si>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</si>
  <si>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</si>
  <si>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</si>
  <si>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</si>
  <si>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</si>
  <si>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</si>
  <si>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</si>
  <si>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</si>
  <si>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</si>
  <si>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</si>
  <si>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</si>
  <si>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</si>
  <si>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</si>
  <si>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</si>
  <si>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</si>
  <si>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OEDSPX</t>
  </si>
  <si>
    <t xml:space="preserve">PHOSPX</t>
  </si>
  <si>
    <t xml:space="preserve">SPISPX</t>
  </si>
  <si>
    <t xml:space="preserve">AMBRIP</t>
  </si>
  <si>
    <t xml:space="preserve">FISCRA</t>
  </si>
  <si>
    <t xml:space="preserve">RHYRIP</t>
  </si>
  <si>
    <t xml:space="preserve">EQUSPX</t>
  </si>
  <si>
    <t xml:space="preserve">PHRAUS</t>
  </si>
  <si>
    <t xml:space="preserve">newcod</t>
  </si>
  <si>
    <t xml:space="preserve">Homoeothrix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</si>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</sst>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i val="true"/>
      <sz val="11"/>
      <color rgb="FF000000"/>
      <name val="Calibri"/>
      <family val="2"/>
    </font>
    <font>
      <sz val="8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5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5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15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15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9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2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9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9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9" fillId="20" borderId="4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6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9720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GREVA_03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41520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9.86666666666667</v>
      </c>
      <c r="M5" s="53"/>
      <c r="N5" s="54" t="s">
        <v>16</v>
      </c>
      <c r="O5" s="55" t="n">
        <v>9.07692307692308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9.77777777777778</v>
      </c>
      <c r="O8" s="84" t="n">
        <f aca="false">IF(ISERROR(AVERAGE(J23:J82)),"      -",AVERAGE(J23:J82))</f>
        <v>1.66666666666667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0.07</v>
      </c>
      <c r="C9" s="87" t="n">
        <v>0.11</v>
      </c>
      <c r="D9" s="88"/>
      <c r="E9" s="88"/>
      <c r="F9" s="89" t="n">
        <f aca="false">($B9*$B$7+$C9*$C$7)/100</f>
        <v>0.074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3.32591767713239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5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0.02</v>
      </c>
      <c r="C12" s="119" t="n">
        <v>0.06</v>
      </c>
      <c r="D12" s="111"/>
      <c r="E12" s="111"/>
      <c r="F12" s="112" t="n">
        <f aca="false">($B12*$B$7+$C12*$C$7)/100</f>
        <v>0.024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0.05</v>
      </c>
      <c r="C13" s="119" t="n">
        <v>0.04</v>
      </c>
      <c r="D13" s="111"/>
      <c r="E13" s="111"/>
      <c r="F13" s="112" t="n">
        <f aca="false">($B13*$B$7+$C13*$C$7)/100</f>
        <v>0.049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11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1</v>
      </c>
      <c r="L14" s="116"/>
      <c r="M14" s="131" t="s">
        <v>45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6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0.07</v>
      </c>
      <c r="C17" s="119" t="n">
        <v>0.1</v>
      </c>
      <c r="D17" s="111"/>
      <c r="E17" s="111"/>
      <c r="F17" s="143"/>
      <c r="G17" s="112" t="n">
        <f aca="false">($B17*$B$7+$C17*$C$7)/100</f>
        <v>0.073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0.074</v>
      </c>
      <c r="G19" s="156" t="n">
        <f aca="false">SUM(G16:G18)</f>
        <v>0.074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0.07</v>
      </c>
      <c r="C20" s="166" t="n">
        <f aca="false">SUM(C23:C82)</f>
        <v>0.11</v>
      </c>
      <c r="D20" s="167"/>
      <c r="E20" s="168" t="s">
        <v>54</v>
      </c>
      <c r="F20" s="169" t="n">
        <f aca="false">($B20*$B$7+$C20*$C$7)/100</f>
        <v>0.074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0.063</v>
      </c>
      <c r="C21" s="179" t="n">
        <f aca="false">C20*C7/100</f>
        <v>0.011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0.074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0.02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0.011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0.011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</v>
      </c>
      <c r="C24" s="225" t="n">
        <v>0.01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Oedogonium sp.</v>
      </c>
      <c r="E24" s="226" t="e">
        <f aca="false">IF(D24="",0,VLOOKUP(D24,D$22:D23,1,0))</f>
        <v>#N/A</v>
      </c>
      <c r="F24" s="227" t="n">
        <f aca="false">($B24*$B$7+$C24*$C$7)/100</f>
        <v>0.001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Oedogonium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6" t="n">
        <f aca="false">IF(ISTEXT(H24),"",(B24*$B$7/100)+(C24*$C$7/100))</f>
        <v>0.001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6</v>
      </c>
      <c r="T24" s="217" t="n">
        <f aca="false">IF(ISERROR(R24*I24*J24),0,R24*I24*J24)</f>
        <v>12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OEDSPX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55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</v>
      </c>
      <c r="C25" s="225" t="n">
        <v>0.01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0.001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0.001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0.01</v>
      </c>
      <c r="C26" s="225" t="n">
        <v>0.02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Spirogyra sp.</v>
      </c>
      <c r="E26" s="226" t="e">
        <f aca="false">IF(D26="",0,VLOOKUP(D26,D$22:D25,1,0))</f>
        <v>#N/A</v>
      </c>
      <c r="F26" s="227" t="n">
        <f aca="false">($B26*$B$7+$C26*$C$7)/100</f>
        <v>0.011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Spirogyra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1147</v>
      </c>
      <c r="Q26" s="216" t="n">
        <f aca="false">IF(ISTEXT(H26),"",(B26*$B$7/100)+(C26*$C$7/100))</f>
        <v>0.011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10</v>
      </c>
      <c r="T26" s="217" t="n">
        <f aca="false">IF(ISERROR(R26*I26*J26),0,R26*I26*J26)</f>
        <v>10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SPISPX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69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Amblystegium riparium</v>
      </c>
      <c r="E27" s="226" t="e">
        <f aca="false">IF(D27="",0,VLOOKUP(D27,D$22:D26,1,0))</f>
        <v>#N/A</v>
      </c>
      <c r="F27" s="227" t="n">
        <f aca="false">($B27*$B$7+$C27*$C$7)/100</f>
        <v>0.009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5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Amblystegium riparium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1219</v>
      </c>
      <c r="Q27" s="216" t="n">
        <f aca="false">IF(ISTEXT(H27),"",(B27*$B$7/100)+(C27*$C$7/100))</f>
        <v>0.009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5</v>
      </c>
      <c r="T27" s="217" t="n">
        <f aca="false">IF(ISERROR(R27*I27*J27),0,R27*I27*J27)</f>
        <v>10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AMBRIP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148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16</v>
      </c>
      <c r="B28" s="224" t="n">
        <v>0.01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Cinclidotus aquaticus</v>
      </c>
      <c r="E28" s="226" t="e">
        <f aca="false">IF(D28="",0,VLOOKUP(D28,D$22:D27,1,0))</f>
        <v>#N/A</v>
      </c>
      <c r="F28" s="227" t="n">
        <f aca="false">($B28*$B$7+$C28*$C$7)/100</f>
        <v>0.009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Cinclidotus aquaticus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1318</v>
      </c>
      <c r="Q28" s="216" t="n">
        <f aca="false">IF(ISTEXT(H28),"",(B28*$B$7/100)+(C28*$C$7/100))</f>
        <v>0.009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15</v>
      </c>
      <c r="T28" s="217" t="n">
        <f aca="false">IF(ISERROR(R28*I28*J28),0,R28*I28*J28)</f>
        <v>30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CINAQU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170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0.01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Fissidens crassipes</v>
      </c>
      <c r="E29" s="226" t="e">
        <f aca="false">IF(D29="",0,VLOOKUP(D29,D$22:D28,1,0))</f>
        <v>#N/A</v>
      </c>
      <c r="F29" s="227" t="n">
        <f aca="false">($B29*$B$7+$C29*$C$7)/100</f>
        <v>0.01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Fissidens crassipes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1294</v>
      </c>
      <c r="Q29" s="216" t="n">
        <f aca="false">IF(ISTEXT(H29),"",(B29*$B$7/100)+(C29*$C$7/100))</f>
        <v>0.01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12</v>
      </c>
      <c r="T29" s="217" t="n">
        <f aca="false">IF(ISERROR(R29*I29*J29),0,R29*I29*J29)</f>
        <v>24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FISCRA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197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0.02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0.019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6" t="n">
        <f aca="false">IF(ISTEXT(H30),"",(B30*$B$7/100)+(C30*$C$7/100))</f>
        <v>0.019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12</v>
      </c>
      <c r="T30" s="217" t="n">
        <f aca="false">IF(ISERROR(R30*I30*J30),0,R30*I30*J30)</f>
        <v>12</v>
      </c>
      <c r="U30" s="229" t="n">
        <f aca="false">IF(ISERROR(R30*J30),0,R30*J30)</f>
        <v>1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Equisetum sp.</v>
      </c>
      <c r="E31" s="226" t="e">
        <f aca="false">IF(D31="",0,VLOOKUP(D31,D$22:D30,1,0))</f>
        <v>#N/A</v>
      </c>
      <c r="F31" s="227" t="n">
        <f aca="false">($B31*$B$7+$C31*$C$7)/100</f>
        <v>0.001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PTE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6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Equisetum sp.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1383</v>
      </c>
      <c r="Q31" s="216" t="n">
        <f aca="false">IF(ISTEXT(H31),"",(B31*$B$7/100)+(C31*$C$7/100))</f>
        <v>0.001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EQUSPX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283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Phragmites australis</v>
      </c>
      <c r="E32" s="226" t="e">
        <f aca="false">IF(D32="",0,VLOOKUP(D32,D$22:D31,1,0))</f>
        <v>#N/A</v>
      </c>
      <c r="F32" s="227" t="n">
        <f aca="false">($B32*$B$7+$C32*$C$7)/100</f>
        <v>0.001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9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2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Phragmites australis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1579</v>
      </c>
      <c r="Q32" s="216" t="n">
        <f aca="false">IF(ISTEXT(H32),"",(B32*$B$7/100)+(C32*$C$7/100))</f>
        <v>0.001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9</v>
      </c>
      <c r="T32" s="217" t="n">
        <f aca="false">IF(ISERROR(R32*I32*J32),0,R32*I32*J32)</f>
        <v>18</v>
      </c>
      <c r="U32" s="229" t="n">
        <f aca="false">IF(ISERROR(R32*J32),0,R32*J32)</f>
        <v>2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PHRAUS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635</v>
      </c>
      <c r="AA32" s="221"/>
      <c r="AB32" s="222"/>
      <c r="AC32" s="222"/>
      <c r="BB32" s="10" t="n">
        <f aca="false">IF(A32="","",1)</f>
        <v>1</v>
      </c>
    </row>
    <row r="33" customFormat="false" ht="15" hidden="false" customHeight="false" outlineLevel="0" collapsed="false">
      <c r="A33" s="223" t="s">
        <v>87</v>
      </c>
      <c r="B33" s="224" t="n">
        <v>0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0.001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    -</v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Homoeothrix sp.</v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No</v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newcod</v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31" t="s">
        <v>88</v>
      </c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2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2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2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2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2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2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2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2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2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2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2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2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2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2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2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2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2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2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2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2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2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2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2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2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3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2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2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4"/>
      <c r="M59" s="234"/>
      <c r="N59" s="234"/>
      <c r="O59" s="214"/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2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4"/>
      <c r="M60" s="234"/>
      <c r="N60" s="234"/>
      <c r="O60" s="214"/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2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2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2" t="n">
        <f aca="false">($B63*$B$7+$C63*$C$7)/100</f>
        <v>0</v>
      </c>
      <c r="G63" s="236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7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2" t="n">
        <f aca="false">($B64*$B$7+$C64*$C$7)/100</f>
        <v>0</v>
      </c>
      <c r="G64" s="238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9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2" t="n">
        <f aca="false">($B65*$B$7+$C65*$C$7)/100</f>
        <v>0</v>
      </c>
      <c r="G65" s="238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9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2" t="n">
        <f aca="false">($B66*$B$7+$C66*$C$7)/100</f>
        <v>0</v>
      </c>
      <c r="G66" s="238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9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2" t="n">
        <f aca="false">($B67*$B$7+$C67*$C$7)/100</f>
        <v>0</v>
      </c>
      <c r="G67" s="238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9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2" t="n">
        <f aca="false">($B68*$B$7+$C68*$C$7)/100</f>
        <v>0</v>
      </c>
      <c r="G68" s="238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9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2" t="n">
        <f aca="false">($B69*$B$7+$C69*$C$7)/100</f>
        <v>0</v>
      </c>
      <c r="G69" s="238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9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2" t="n">
        <f aca="false">($B70*$B$7+$C70*$C$7)/100</f>
        <v>0</v>
      </c>
      <c r="G70" s="238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9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2" t="n">
        <f aca="false">($B71*$B$7+$C71*$C$7)/100</f>
        <v>0</v>
      </c>
      <c r="G71" s="238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9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2" t="n">
        <f aca="false">($B72*$B$7+$C72*$C$7)/100</f>
        <v>0</v>
      </c>
      <c r="G72" s="238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9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2" t="n">
        <f aca="false">($B73*$B$7+$C73*$C$7)/100</f>
        <v>0</v>
      </c>
      <c r="G73" s="238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9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2" t="n">
        <f aca="false">($B74*$B$7+$C74*$C$7)/100</f>
        <v>0</v>
      </c>
      <c r="G74" s="238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9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2" t="n">
        <f aca="false">($B75*$B$7+$C75*$C$7)/100</f>
        <v>0</v>
      </c>
      <c r="G75" s="238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9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2" t="n">
        <f aca="false">($B76*$B$7+$C76*$C$7)/100</f>
        <v>0</v>
      </c>
      <c r="G76" s="238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9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2" t="n">
        <f aca="false">($B77*$B$7+$C77*$C$7)/100</f>
        <v>0</v>
      </c>
      <c r="G77" s="238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9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2" t="n">
        <f aca="false">($B78*$B$7+$C78*$C$7)/100</f>
        <v>0</v>
      </c>
      <c r="G78" s="238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9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2" t="n">
        <f aca="false">($B79*$B$7+$C79*$C$7)/100</f>
        <v>0</v>
      </c>
      <c r="G79" s="238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9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2" t="n">
        <f aca="false">($B80*$B$7+$C80*$C$7)/100</f>
        <v>0</v>
      </c>
      <c r="G80" s="238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9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2" t="n">
        <f aca="false">($B81*$B$7+$C81*$C$7)/100</f>
        <v>0</v>
      </c>
      <c r="G81" s="238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9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4"/>
      <c r="M81" s="234"/>
      <c r="N81" s="234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40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1"/>
      <c r="B82" s="242"/>
      <c r="C82" s="243"/>
      <c r="D82" s="244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5" t="n">
        <f aca="false">IF(D82="",0,VLOOKUP(D82,D$20:D80,1,0))</f>
        <v>0</v>
      </c>
      <c r="F82" s="246" t="n">
        <f aca="false">($B82*$B$7+$C82*$C$7)/100</f>
        <v>0</v>
      </c>
      <c r="G82" s="247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8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9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0"/>
      <c r="M82" s="250"/>
      <c r="N82" s="250"/>
      <c r="O82" s="251"/>
      <c r="P82" s="252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3"/>
      <c r="X82" s="254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5" t="s">
        <v>89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6"/>
      <c r="Q83" s="256"/>
      <c r="R83" s="256"/>
      <c r="S83" s="256"/>
      <c r="T83" s="10"/>
      <c r="U83" s="10"/>
      <c r="V83" s="256"/>
      <c r="W83" s="256"/>
      <c r="X83" s="256"/>
      <c r="Y83" s="257"/>
      <c r="Z83" s="257"/>
      <c r="AA83" s="257"/>
      <c r="AB83" s="258"/>
      <c r="AC83" s="258"/>
      <c r="AD83" s="258"/>
    </row>
    <row r="84" customFormat="false" ht="12.75" hidden="true" customHeight="false" outlineLevel="0" collapsed="false">
      <c r="A84" s="259" t="str">
        <f aca="false">A3</f>
        <v>Gresse</v>
      </c>
      <c r="B84" s="260" t="str">
        <f aca="false">C3</f>
        <v>GRESSE A VARCES ALLIERES ET RISSET</v>
      </c>
      <c r="C84" s="261" t="n">
        <f aca="false">A4</f>
        <v>41520</v>
      </c>
      <c r="D84" s="262" t="n">
        <f aca="false">IF(ISERROR(SUM($T$23:$T$82)/SUM($U$23:$U$82)),"",SUM($T$23:$T$82)/SUM($U$23:$U$82))</f>
        <v>9.86666666666667</v>
      </c>
      <c r="E84" s="263" t="n">
        <f aca="false">N13</f>
        <v>11</v>
      </c>
      <c r="F84" s="260" t="n">
        <f aca="false">N14</f>
        <v>9</v>
      </c>
      <c r="G84" s="260" t="n">
        <f aca="false">N15</f>
        <v>3</v>
      </c>
      <c r="H84" s="260" t="n">
        <f aca="false">N16</f>
        <v>6</v>
      </c>
      <c r="I84" s="260" t="n">
        <f aca="false">N17</f>
        <v>0</v>
      </c>
      <c r="J84" s="264" t="n">
        <f aca="false">N8</f>
        <v>9.77777777777778</v>
      </c>
      <c r="K84" s="262" t="n">
        <f aca="false">N9</f>
        <v>3.32591767713239</v>
      </c>
      <c r="L84" s="263" t="n">
        <f aca="false">N10</f>
        <v>5</v>
      </c>
      <c r="M84" s="263" t="n">
        <f aca="false">N11</f>
        <v>15</v>
      </c>
      <c r="N84" s="262" t="n">
        <f aca="false">O8</f>
        <v>1.66666666666667</v>
      </c>
      <c r="O84" s="262" t="n">
        <f aca="false">O9</f>
        <v>0.471404520791032</v>
      </c>
      <c r="P84" s="263" t="n">
        <f aca="false">O10</f>
        <v>1</v>
      </c>
      <c r="Q84" s="263" t="n">
        <f aca="false">O11</f>
        <v>2</v>
      </c>
      <c r="R84" s="263" t="n">
        <f aca="false">F21</f>
        <v>0.074</v>
      </c>
      <c r="S84" s="263" t="n">
        <f aca="false">K11</f>
        <v>0</v>
      </c>
      <c r="T84" s="263" t="n">
        <f aca="false">K12</f>
        <v>4</v>
      </c>
      <c r="U84" s="263" t="n">
        <f aca="false">K13</f>
        <v>4</v>
      </c>
      <c r="V84" s="265" t="n">
        <f aca="false">K14</f>
        <v>1</v>
      </c>
      <c r="W84" s="266" t="n">
        <f aca="false">K15</f>
        <v>1</v>
      </c>
      <c r="Z84" s="267"/>
      <c r="AA84" s="267"/>
      <c r="AB84" s="258"/>
      <c r="AC84" s="258"/>
      <c r="AD84" s="258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8" t="s">
        <v>90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91</v>
      </c>
      <c r="R87" s="10"/>
      <c r="S87" s="218" t="n">
        <f aca="false">VLOOKUP(MAX($S$23:$S$82),($S$23:$U$82),1,0)</f>
        <v>15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92</v>
      </c>
      <c r="R88" s="10"/>
      <c r="S88" s="218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93</v>
      </c>
      <c r="R89" s="10"/>
      <c r="S89" s="218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94</v>
      </c>
      <c r="R90" s="10"/>
      <c r="S90" s="269" t="n">
        <f aca="false">IF(ISERROR(SUM($T$23:$T$82)/SUM($U$23:$U$82)),"",(SUM($T$23:$T$82)-S88)/(SUM($U$23:$U$82)-S89))</f>
        <v>9.07692307692308</v>
      </c>
      <c r="T90" s="10"/>
    </row>
    <row r="91" customFormat="false" ht="12.75" hidden="false" customHeight="false" outlineLevel="0" collapsed="false">
      <c r="Q91" s="217" t="s">
        <v>95</v>
      </c>
      <c r="R91" s="217"/>
      <c r="S91" s="217" t="str">
        <f aca="false">INDEX('[1]liste reference'!$A$8:$A$904,$T$91)</f>
        <v>CINAQU</v>
      </c>
      <c r="T91" s="10" t="n">
        <f aca="false">IF(ISERROR(MATCH($S$93,'[1]liste reference'!$A$8:$A$904,0)),MATCH($S$93,'[1]liste reference'!$B$8:$B$904,0),(MATCH($S$93,'[1]liste reference'!$A$8:$A$904,0)))</f>
        <v>170</v>
      </c>
      <c r="U91" s="258"/>
    </row>
    <row r="92" customFormat="false" ht="12.75" hidden="false" customHeight="false" outlineLevel="0" collapsed="false">
      <c r="Q92" s="10" t="s">
        <v>96</v>
      </c>
      <c r="R92" s="10"/>
      <c r="S92" s="10" t="n">
        <f aca="false">MATCH(S87,$S$23:$S$82,0)</f>
        <v>6</v>
      </c>
      <c r="T92" s="10"/>
    </row>
    <row r="93" customFormat="false" ht="12.75" hidden="false" customHeight="false" outlineLevel="0" collapsed="false">
      <c r="Q93" s="217" t="s">
        <v>97</v>
      </c>
      <c r="R93" s="10"/>
      <c r="S93" s="217" t="str">
        <f aca="false">INDEX($A$23:$A$82,$S$92)</f>
        <v>CINAQU</v>
      </c>
      <c r="T93" s="10"/>
    </row>
    <row r="94" customFormat="false" ht="12.75" hidden="false" customHeight="false" outlineLevel="0" collapsed="false">
      <c r="S94" s="258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2013-12-17T17:33:54Z</dcterms:created>
  <dc:creator>li</dc:creator>
  <dc:description/>
  <dc:language>fr-FR</dc:language>
  <cp:lastModifiedBy>li</cp:lastModifiedBy>
  <dcterms:modified xsi:type="dcterms:W3CDTF">2013-12-17T17:33:56Z</dcterms:modified>
  <cp:revision>0</cp:revision>
  <dc:subject/>
  <dc:title/>
</cp:coreProperties>
</file>