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Var à Touet"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'Var à Touet'!$A$1:$O$82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<sst xmlns="http://schemas.openxmlformats.org/spreadsheetml/2006/main" count="9445" uniqueCount="2731">
  <si>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</si>
  <si>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</si>
  <si>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</si>
  <si>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</si>
  <si>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</si>
  <si>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</si>
  <si>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</si>
  <si>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</si>
  <si>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</si>
  <si>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</si>
  <si>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</si>
  <si>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</si>
  <si>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</si>
  <si>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</si>
  <si>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</si>
  <si>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</si>
  <si>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</si>
  <si>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</si>
  <si>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</si>
  <si>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</si>
  <si>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</si>
  <si>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</si>
  <si>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</si>
  <si>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</si>
  <si>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</si>
  <si>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</si>
  <si>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</si>
  <si>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</si>
  <si>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</si>
  <si>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</si>
  <si>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</si>
  <si>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</si>
  <si>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</si>
  <si>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</si>
  <si>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</si>
  <si>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</si>
  <si>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</si>
  <si>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</si>
  <si>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</si>
  <si>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</si>
  <si>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</si>
  <si>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</si>
  <si>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</si>
  <si>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</si>
  <si>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</si>
  <si>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</si>
  <si>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</si>
  <si>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</si>
  <si>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</si>
  <si>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</si>
  <si>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</si>
  <si>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</si>
  <si>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</si>
  <si>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</si>
  <si>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</si>
  <si>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</si>
  <si>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</si>
  <si>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</si>
  <si>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</si>
  <si>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</si>
  <si>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</si>
  <si>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</si>
  <si>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</si>
  <si>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</si>
  <si>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</si>
  <si>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</si>
  <si>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</si>
  <si>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</si>
  <si>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</si>
  <si>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</si>
  <si>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</si>
  <si>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</si>
  <si>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</si>
  <si>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</si>
  <si>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</si>
  <si>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</si>
  <si>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</si>
  <si>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</si>
  <si>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</si>
  <si>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</si>
  <si>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</si>
  <si>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</si>
  <si>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</si>
  <si>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</si>
  <si>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</si>
  <si>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</si>
  <si>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</si>
  <si>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</si>
  <si>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</si>
  <si>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</si>
  <si>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</si>
  <si>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</si>
  <si>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</si>
  <si>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</si>
  <si>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</si>
  <si>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</si>
  <si>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</si>
  <si>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</si>
  <si>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</si>
  <si>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</si>
  <si>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</si>
  <si>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</si>
  <si>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</si>
  <si>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</si>
  <si>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</si>
  <si>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</si>
  <si>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</si>
  <si>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</si>
  <si>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</si>
  <si>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</si>
  <si>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</si>
  <si>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</si>
  <si>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</si>
  <si>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</si>
  <si>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</si>
  <si>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</si>
  <si>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</si>
  <si>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</si>
  <si>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</si>
  <si>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</si>
  <si>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</si>
  <si>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</si>
  <si>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</si>
  <si>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</si>
  <si>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</si>
  <si>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</si>
  <si>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</si>
  <si>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</si>
  <si>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</si>
  <si>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</si>
  <si>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</si>
  <si>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</si>
  <si>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</si>
  <si>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</si>
  <si>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</si>
  <si>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</si>
  <si>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</si>
  <si>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</si>
  <si>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</si>
  <si>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</si>
  <si>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</si>
  <si>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</si>
  <si>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</si>
  <si>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</si>
  <si>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</si>
  <si>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</si>
  <si>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</si>
  <si>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</si>
  <si>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</si>
  <si>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</si>
  <si>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</si>
  <si>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</si>
  <si>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</si>
  <si>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</si>
  <si>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</si>
  <si>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</si>
  <si>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</si>
  <si>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</si>
  <si>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</si>
  <si>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</si>
  <si>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</si>
  <si>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</si>
  <si>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</si>
  <si>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</si>
  <si>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</si>
  <si>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</si>
  <si>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</si>
  <si>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</si>
  <si>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</si>
  <si>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</si>
  <si>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</si>
  <si>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</si>
  <si>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</si>
  <si>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</si>
  <si>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</si>
  <si>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</si>
  <si>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</si>
  <si>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</si>
  <si>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</si>
  <si>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</si>
  <si>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</si>
  <si>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</si>
  <si>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</si>
  <si>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</si>
  <si>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</si>
  <si>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</si>
  <si>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</si>
  <si>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</si>
  <si>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</si>
  <si>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</si>
  <si>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</si>
  <si>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</si>
  <si>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</si>
  <si>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</si>
  <si>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</si>
  <si>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</si>
  <si>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</si>
  <si>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</si>
  <si>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</si>
  <si>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</si>
  <si>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</si>
  <si>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</si>
  <si>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</si>
  <si>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</si>
  <si>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</si>
  <si>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</si>
  <si>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</si>
  <si>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</si>
  <si>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</si>
  <si>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</si>
  <si>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</si>
  <si>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</si>
  <si>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</si>
  <si>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</si>
  <si>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</si>
  <si>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</si>
  <si>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</si>
  <si>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</si>
  <si>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</si>
  <si>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</si>
  <si>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</si>
  <si>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</si>
  <si>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</si>
  <si>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</si>
  <si>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</si>
  <si>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</si>
  <si>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</si>
  <si>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</si>
  <si>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</si>
  <si>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</si>
  <si>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</si>
  <si>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</si>
  <si>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</si>
  <si>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</si>
  <si>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</si>
  <si>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</si>
  <si>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</si>
  <si>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</si>
  <si>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</si>
  <si>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</si>
  <si>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</si>
  <si>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</si>
  <si>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</si>
  <si>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</si>
  <si>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</si>
  <si>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</si>
  <si>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</si>
  <si>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</si>
  <si>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</si>
  <si>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</si>
  <si>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</si>
  <si>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</si>
  <si>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</si>
  <si>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</si>
  <si>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</si>
  <si>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</si>
  <si>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</si>
  <si>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</si>
  <si>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</si>
  <si>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</si>
  <si>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</si>
  <si>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</si>
  <si>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</si>
  <si>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</si>
  <si>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</si>
  <si>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</si>
  <si>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</si>
  <si>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</si>
  <si>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</si>
  <si>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</si>
  <si>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</si>
  <si>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</si>
  <si>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</si>
  <si>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</si>
  <si>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</si>
  <si>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</si>
  <si>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</si>
  <si>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</si>
  <si>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</si>
  <si>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</si>
  <si>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</si>
  <si>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</si>
  <si>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</si>
  <si>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</si>
  <si>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</si>
  <si>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</si>
  <si>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</si>
  <si>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</si>
  <si>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</si>
  <si>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</si>
  <si>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</si>
  <si>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</si>
  <si>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</si>
  <si>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</si>
  <si>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</si>
  <si>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</si>
  <si>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</si>
  <si>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</si>
  <si>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</si>
  <si>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</si>
  <si>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</si>
  <si>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</si>
  <si>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</si>
  <si>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</si>
  <si>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</si>
  <si>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</si>
  <si>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</si>
  <si>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</si>
  <si>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</si>
  <si>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</si>
  <si>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</si>
  <si>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</si>
  <si>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</si>
  <si>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</si>
  <si>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</si>
  <si>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</si>
  <si>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</si>
  <si>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</si>
  <si>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</si>
  <si>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</si>
  <si>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</si>
  <si>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</si>
  <si>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</si>
  <si>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</si>
  <si>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</si>
  <si>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</si>
  <si>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</si>
  <si>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</si>
  <si>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</si>
  <si>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</si>
  <si>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</si>
  <si>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</si>
  <si>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</si>
  <si>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</si>
  <si>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</si>
  <si>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</si>
  <si>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</si>
  <si>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</si>
  <si>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</si>
  <si>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</si>
  <si>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</si>
  <si>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</si>
  <si>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</si>
  <si>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</si>
  <si>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</si>
  <si>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</si>
  <si>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</si>
  <si>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</si>
  <si>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</si>
  <si>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</si>
  <si>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</si>
  <si>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</si>
  <si>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</si>
  <si>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</si>
  <si>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</si>
  <si>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</si>
  <si>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</si>
  <si>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</si>
  <si>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</si>
  <si>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</si>
  <si>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</si>
  <si>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</si>
  <si>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</si>
  <si>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</si>
  <si>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</si>
  <si>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</si>
  <si>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</si>
  <si>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</si>
  <si>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</si>
  <si>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</si>
  <si>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</si>
  <si>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</si>
  <si>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</si>
  <si>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</si>
  <si>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</si>
  <si>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</si>
  <si>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</si>
  <si>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</si>
  <si>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</si>
  <si>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</si>
  <si>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</si>
  <si>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</si>
  <si>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</si>
  <si>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</si>
  <si>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</si>
  <si>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</si>
  <si>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</si>
  <si>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</si>
  <si>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</si>
  <si>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</si>
  <si>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</si>
  <si>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</si>
  <si>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</si>
  <si>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</si>
  <si>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</si>
  <si>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</si>
  <si>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</si>
  <si>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</si>
  <si>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</si>
  <si>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</si>
  <si>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</si>
  <si>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</si>
  <si>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</si>
  <si>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</si>
  <si>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</si>
  <si>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</si>
  <si>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</si>
  <si>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</si>
  <si>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</si>
  <si>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</si>
  <si>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</si>
  <si>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</si>
  <si>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</si>
  <si>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</si>
  <si>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</si>
  <si>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</si>
  <si>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</si>
  <si>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</si>
  <si>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</si>
  <si>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</si>
  <si>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</si>
  <si>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</si>
  <si>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</si>
  <si>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</si>
  <si>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</si>
  <si>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</si>
  <si>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</si>
  <si>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</si>
  <si>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</si>
  <si>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</si>
  <si>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</si>
  <si>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</si>
  <si>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</si>
  <si>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</si>
  <si>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</si>
  <si>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</si>
  <si>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</si>
  <si>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</si>
  <si>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</si>
  <si>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</si>
  <si>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</si>
  <si>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</si>
  <si>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</si>
  <si>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</si>
  <si>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</si>
  <si>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</si>
  <si>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</si>
  <si>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</si>
  <si>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</si>
  <si>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</si>
  <si>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</si>
  <si>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</si>
  <si>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</si>
  <si>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</si>
  <si>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</si>
  <si>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</si>
  <si>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</si>
  <si>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</si>
  <si>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</si>
  <si>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</si>
  <si>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</si>
  <si>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</si>
  <si>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</si>
  <si>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</si>
  <si>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</si>
  <si>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</si>
  <si>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</si>
  <si>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</si>
  <si>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</si>
  <si>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</si>
  <si>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</si>
  <si>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</si>
  <si>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</si>
  <si>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</si>
  <si>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</si>
  <si>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</si>
  <si>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</si>
  <si>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</si>
  <si>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</si>
  <si>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</si>
  <si>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</si>
  <si>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</si>
  <si>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</si>
  <si>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</si>
  <si>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</si>
  <si>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</si>
  <si>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</si>
  <si>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</si>
  <si>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</si>
  <si>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</si>
  <si>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</si>
  <si>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</si>
  <si>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</si>
  <si>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</si>
  <si>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</si>
  <si>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</si>
  <si>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</si>
  <si>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</si>
  <si>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</si>
  <si>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</si>
  <si>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</si>
  <si>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</si>
  <si>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</si>
  <si>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</si>
  <si>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</si>
  <si>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</si>
  <si>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</si>
  <si>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</si>
  <si>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</si>
  <si>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</si>
  <si>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</si>
  <si>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</si>
  <si>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</si>
  <si>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</si>
  <si>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</si>
  <si>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</si>
  <si>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</si>
  <si>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</si>
  <si>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</si>
  <si>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</si>
  <si>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</si>
  <si>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</si>
  <si>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</si>
  <si>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</si>
  <si>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</si>
  <si>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</si>
  <si>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</si>
  <si>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</si>
  <si>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</si>
  <si>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</si>
  <si>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</si>
  <si>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</si>
  <si>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</si>
  <si>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</si>
  <si>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</si>
  <si>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</si>
  <si>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</si>
  <si>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</si>
  <si>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</si>
  <si>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</si>
  <si>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</si>
  <si>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</si>
  <si>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</si>
  <si>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</si>
  <si>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</si>
  <si>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</si>
  <si>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</si>
  <si>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</si>
  <si>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</si>
  <si>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</si>
  <si>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</si>
  <si>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</si>
  <si>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</si>
  <si>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</si>
  <si>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</si>
  <si>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</si>
  <si>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</si>
  <si>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</si>
  <si>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</si>
  <si>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</si>
  <si>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</si>
  <si>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</si>
  <si>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</si>
  <si>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</si>
  <si>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</si>
  <si>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</si>
  <si>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</si>
  <si>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</si>
  <si>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</si>
  <si>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</si>
  <si>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</si>
  <si>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</si>
  <si>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</si>
  <si>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</si>
  <si>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</si>
  <si>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</si>
  <si>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</si>
  <si>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</si>
  <si>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</si>
  <si>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</si>
  <si>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</si>
  <si>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</si>
  <si>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</si>
  <si>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</si>
  <si>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</si>
  <si>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</si>
  <si>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</si>
  <si>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</si>
  <si>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</si>
  <si>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</si>
  <si>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</si>
  <si>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</si>
  <si>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</si>
  <si>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</si>
  <si>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</si>
  <si>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</si>
  <si>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</si>
  <si>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</si>
  <si>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</si>
  <si>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</si>
  <si>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</si>
  <si>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</si>
  <si>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</si>
  <si>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</si>
  <si>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</si>
  <si>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</si>
  <si>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</si>
  <si>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</si>
  <si>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</si>
  <si>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</si>
  <si>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</si>
  <si>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</si>
  <si>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</si>
  <si>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</si>
  <si>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</si>
  <si>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</si>
  <si>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</si>
  <si>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</si>
  <si>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</si>
  <si>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</si>
  <si>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</si>
  <si>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</si>
  <si>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</si>
  <si>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</si>
  <si>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</si>
  <si>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</si>
  <si>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</si>
  <si>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</si>
  <si>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</si>
  <si>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</si>
  <si>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</si>
  <si>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</si>
  <si>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</si>
  <si>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</si>
  <si>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</si>
  <si>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</si>
  <si>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</si>
  <si>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</si>
  <si>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</si>
  <si>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</si>
  <si>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</si>
  <si>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</si>
  <si>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</si>
  <si>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</si>
  <si>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</si>
  <si>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</si>
  <si>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</si>
  <si>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</si>
  <si>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</si>
  <si>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</si>
  <si>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</si>
  <si>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</si>
  <si>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</si>
  <si>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</si>
  <si>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</si>
  <si>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</si>
  <si>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</si>
  <si>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</si>
  <si>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</si>
  <si>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</si>
  <si>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</si>
  <si>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</si>
  <si>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</si>
  <si>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</si>
  <si>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</si>
  <si>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</si>
  <si>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</si>
  <si>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</si>
  <si>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</si>
  <si>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</si>
  <si>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</si>
  <si>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</si>
  <si>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</si>
  <si>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</si>
  <si>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</si>
  <si>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</si>
  <si>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</si>
  <si>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</si>
  <si>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</si>
  <si>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</si>
  <si>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</si>
  <si>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</si>
  <si>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</si>
  <si>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</si>
  <si>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</si>
  <si>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</si>
  <si>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</si>
  <si>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</si>
  <si>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</si>
  <si>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</si>
  <si>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</si>
  <si>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</si>
  <si>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</si>
  <si>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</si>
  <si>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</si>
  <si>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</si>
  <si>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</si>
  <si>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</si>
  <si>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</si>
  <si>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</si>
  <si>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</si>
  <si>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</si>
  <si>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</si>
  <si>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</si>
  <si>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</si>
  <si>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</si>
  <si>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</si>
  <si>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</si>
  <si>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</si>
  <si>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</si>
  <si>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</si>
  <si>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</si>
  <si>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</si>
  <si>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</si>
  <si>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</si>
  <si>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</si>
  <si>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</si>
  <si>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</si>
  <si>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</si>
  <si>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</si>
  <si>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</si>
  <si>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</si>
  <si>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</si>
  <si>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</si>
  <si>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</si>
  <si>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</si>
  <si>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</si>
  <si>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</si>
  <si>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</si>
  <si>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</si>
  <si>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</si>
  <si>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</si>
  <si>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</si>
  <si>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</si>
  <si>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</si>
  <si>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</si>
  <si>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</si>
  <si>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</si>
  <si>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</si>
  <si>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</si>
  <si>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</si>
  <si>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</si>
  <si>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</si>
  <si>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</si>
  <si>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</si>
  <si>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</si>
  <si>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</si>
  <si>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</si>
  <si>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</si>
  <si>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</si>
  <si>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</si>
  <si>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</si>
  <si>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</si>
  <si>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</si>
  <si>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</si>
  <si>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</si>
  <si>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</si>
  <si>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</si>
  <si>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</si>
  <si>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</si>
  <si>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</si>
  <si>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</si>
  <si>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</si>
  <si>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</si>
  <si>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</si>
  <si>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</si>
  <si>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</si>
  <si>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</si>
  <si>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</si>
  <si>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</si>
  <si>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</si>
  <si>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</si>
  <si>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</si>
  <si>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</si>
  <si>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</si>
  <si>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</si>
  <si>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</si>
  <si>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</si>
  <si>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</si>
  <si>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</si>
  <si>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</si>
  <si>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</si>
  <si>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</si>
  <si>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</si>
  <si>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</si>
  <si>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</si>
  <si>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</si>
  <si>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</si>
  <si>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</si>
  <si>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</si>
  <si>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</si>
  <si>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</si>
  <si>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</si>
  <si>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</si>
  <si>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</si>
  <si>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</si>
  <si>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</si>
  <si>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</si>
  <si>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</si>
  <si>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</si>
  <si>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</si>
  <si>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</si>
  <si>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</si>
  <si>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</si>
  <si>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</si>
  <si>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</si>
  <si>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</si>
  <si>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</si>
  <si>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</si>
  <si>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</si>
  <si>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</si>
  <si>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</si>
  <si>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</si>
  <si>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</si>
  <si>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</si>
  <si>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</si>
  <si>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</si>
  <si>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</si>
  <si>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</si>
  <si>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</si>
  <si>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</si>
  <si>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</si>
  <si>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</si>
  <si>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</si>
  <si>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</si>
  <si>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</si>
  <si>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</si>
  <si>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</si>
  <si>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</si>
  <si>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</si>
  <si>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</si>
  <si>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</si>
  <si>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</si>
  <si>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</si>
  <si>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</si>
  <si>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</si>
  <si>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</si>
  <si>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</si>
  <si>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</si>
  <si>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</si>
  <si>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</si>
  <si>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</si>
  <si>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</si>
  <si>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</si>
  <si>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</si>
  <si>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</si>
  <si>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</si>
  <si>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</si>
  <si>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</si>
  <si>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</si>
  <si>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</si>
  <si>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</si>
  <si>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</si>
  <si>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</si>
  <si>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</si>
  <si>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</si>
  <si>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</si>
  <si>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</si>
  <si>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</si>
  <si>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</si>
  <si>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</si>
  <si>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</si>
  <si>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</si>
  <si>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</si>
  <si>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</si>
  <si>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</si>
  <si>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</si>
  <si>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</si>
  <si>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</si>
  <si>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</si>
  <si>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</si>
  <si>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</si>
  <si>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</si>
  <si>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</si>
  <si>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</si>
  <si>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</si>
  <si>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</si>
  <si>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</si>
  <si>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</si>
  <si>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</si>
  <si>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</si>
  <si>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</si>
  <si>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</si>
  <si>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</si>
  <si>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</si>
  <si>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</si>
  <si>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</si>
  <si>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</si>
  <si>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</si>
  <si>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</si>
  <si>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</si>
  <si>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</si>
  <si>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</si>
  <si>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</si>
  <si>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</si>
  <si>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</si>
  <si>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</si>
  <si>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</si>
  <si>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</si>
  <si>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</si>
  <si>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</si>
  <si>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</si>
  <si>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</si>
  <si>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</si>
  <si>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</si>
  <si>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</si>
  <si>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</si>
  <si>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</si>
  <si>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</si>
  <si>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</si>
  <si>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</si>
  <si>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</si>
  <si>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</si>
  <si>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</si>
  <si>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</si>
  <si>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</si>
  <si>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</si>
  <si>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</si>
  <si>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</si>
  <si>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</si>
  <si>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</si>
  <si>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</si>
  <si>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</si>
  <si>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</si>
  <si>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</si>
  <si>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</si>
  <si>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</si>
  <si>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</si>
  <si>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</si>
  <si>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</si>
  <si>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</si>
  <si>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</si>
  <si>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</si>
  <si>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</si>
  <si>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</si>
  <si>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</si>
  <si>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</si>
  <si>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</si>
  <si>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</si>
  <si>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</si>
  <si>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</si>
  <si>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</si>
  <si>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</si>
  <si>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</si>
  <si>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</si>
  <si>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</si>
  <si>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</si>
  <si>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</si>
  <si>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</si>
  <si>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</si>
  <si>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</si>
  <si>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</si>
  <si>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</si>
  <si>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</si>
  <si>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</si>
  <si>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</si>
  <si>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</si>
  <si>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</si>
  <si>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</si>
  <si>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</si>
  <si>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</si>
  <si>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</si>
  <si>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</si>
  <si>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</si>
  <si>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</si>
  <si>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</si>
  <si>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</si>
  <si>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</si>
  <si>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</si>
  <si>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</si>
  <si>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</si>
  <si>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</si>
  <si>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</si>
  <si>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</si>
  <si>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</si>
  <si>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</si>
  <si>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</si>
  <si>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</si>
  <si>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</si>
  <si>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</si>
  <si>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</si>
  <si>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</si>
  <si>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</si>
  <si>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</si>
  <si>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</si>
  <si>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</si>
  <si>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</si>
  <si>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</si>
  <si>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</si>
  <si>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</si>
  <si>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</si>
  <si>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</si>
  <si>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</si>
  <si>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</si>
  <si>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</si>
  <si>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</si>
  <si>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</si>
  <si>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</si>
  <si>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</si>
  <si>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</si>
  <si>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</si>
  <si>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</si>
  <si>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</si>
  <si>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</si>
  <si>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</si>
  <si>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</si>
  <si>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</si>
  <si>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</si>
  <si>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</si>
  <si>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</si>
  <si>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</si>
  <si>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</si>
  <si>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</si>
  <si>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</si>
  <si>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</si>
  <si>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</si>
  <si>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</si>
  <si>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</si>
  <si>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</si>
  <si>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</si>
  <si>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</si>
  <si>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</si>
  <si>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</si>
  <si>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</si>
  <si>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</si>
  <si>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</si>
  <si>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</si>
  <si>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</si>
  <si>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</si>
  <si>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</si>
  <si>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</si>
  <si>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</si>
  <si>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</si>
  <si>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</si>
  <si>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</si>
  <si>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</si>
  <si>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</si>
  <si>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</si>
  <si>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</si>
  <si>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</si>
  <si>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</si>
  <si>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</si>
  <si>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</si>
  <si>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</si>
  <si>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</si>
  <si>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</si>
  <si>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</si>
  <si>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</si>
  <si>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</si>
  <si>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</si>
  <si>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</si>
  <si>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</si>
  <si>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</si>
  <si>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</si>
  <si>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</si>
  <si>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</si>
  <si>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</si>
  <si>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</si>
  <si>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</si>
  <si>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</si>
  <si>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</si>
  <si>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</si>
  <si>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</si>
  <si>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</si>
  <si>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</si>
  <si>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</si>
  <si>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</si>
  <si>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</si>
  <si>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</si>
  <si>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</si>
  <si>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</si>
  <si>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</si>
  <si>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</si>
  <si>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</si>
  <si>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</si>
  <si>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</si>
  <si>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</si>
  <si>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</si>
  <si>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</si>
  <si>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</si>
  <si>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</si>
  <si>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</si>
  <si>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</si>
  <si>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</si>
  <si>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</si>
  <si>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</si>
  <si>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</si>
  <si>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</si>
  <si>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</si>
  <si>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</si>
  <si>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</si>
  <si>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</si>
  <si>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</si>
  <si>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</si>
  <si>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</si>
  <si>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</si>
  <si>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</si>
  <si>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</si>
  <si>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</si>
  <si>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</si>
  <si>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</si>
  <si>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</si>
  <si>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</si>
  <si>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</si>
  <si>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</si>
  <si>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</si>
  <si>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</si>
  <si>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</si>
  <si>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</si>
  <si>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</si>
  <si>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</si>
  <si>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</si>
  <si>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</si>
  <si>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</si>
  <si>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</si>
  <si>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</si>
  <si>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</si>
  <si>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</si>
  <si>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</si>
  <si>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</si>
  <si>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</si>
  <si>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</si>
  <si>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</si>
  <si>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</si>
  <si>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</si>
  <si>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</si>
  <si>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</si>
  <si>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</si>
  <si>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</si>
  <si>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</si>
  <si>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</si>
  <si>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</si>
  <si>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</si>
  <si>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</si>
  <si>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</si>
  <si>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</si>
  <si>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</si>
  <si>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</si>
  <si>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</si>
  <si>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</si>
  <si>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</si>
  <si>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</si>
  <si>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</si>
  <si>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</si>
  <si>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</si>
  <si>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</si>
  <si>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</si>
  <si>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</si>
  <si>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</si>
  <si>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</si>
  <si>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</si>
  <si>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</si>
  <si>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</si>
  <si>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</si>
  <si>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</si>
  <si>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</si>
  <si>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</si>
  <si>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</si>
  <si>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</si>
  <si>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</si>
  <si>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</si>
  <si>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</si>
  <si>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</si>
  <si>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</si>
  <si>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</si>
  <si>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</si>
  <si>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</si>
  <si>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</si>
  <si>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</si>
  <si>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</si>
  <si>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</si>
  <si>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</si>
  <si>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</si>
  <si>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</si>
  <si>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</si>
  <si>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</si>
  <si>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</si>
  <si>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</si>
  <si>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</si>
  <si>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</si>
  <si>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</si>
  <si>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</si>
  <si>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</si>
  <si>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</si>
  <si>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</si>
  <si>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</si>
  <si>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</si>
  <si>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</si>
  <si>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</si>
  <si>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</si>
  <si>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</si>
  <si>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</si>
  <si>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</si>
  <si>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</si>
  <si>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</si>
  <si>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</si>
  <si>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</si>
  <si>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</si>
  <si>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</si>
  <si>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</si>
  <si>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</si>
  <si>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</si>
  <si>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</si>
  <si>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</si>
  <si>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</si>
  <si>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</si>
  <si>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</si>
  <si>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</si>
  <si>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</si>
  <si>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</si>
  <si>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</si>
  <si>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</si>
  <si>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</si>
  <si>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</si>
  <si>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</si>
  <si>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</si>
  <si>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</si>
  <si>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</si>
  <si>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</si>
  <si>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</si>
  <si>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</si>
  <si>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</si>
  <si>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</si>
  <si>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</si>
  <si>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</si>
  <si>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</si>
  <si>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</si>
  <si>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</si>
  <si>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</si>
  <si>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</si>
  <si>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</si>
  <si>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</si>
  <si>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</si>
  <si>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</si>
  <si>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</si>
  <si>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</si>
  <si>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</si>
  <si>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</si>
  <si>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</si>
  <si>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</si>
  <si>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</si>
  <si>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</si>
  <si>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</si>
  <si>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</si>
  <si>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</si>
  <si>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</si>
  <si>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</si>
  <si>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</si>
  <si>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</si>
  <si>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</si>
  <si>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</si>
  <si>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</si>
  <si>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</si>
  <si>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</si>
  <si>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</si>
  <si>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</si>
  <si>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</si>
  <si>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</si>
  <si>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</si>
  <si>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</si>
  <si>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</si>
  <si>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</si>
  <si>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</si>
  <si>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</si>
  <si>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</si>
  <si>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</si>
  <si>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</si>
  <si>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</si>
  <si>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</si>
  <si>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</si>
  <si>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</si>
  <si>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</si>
  <si>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</si>
  <si>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</si>
  <si>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</si>
  <si>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</si>
  <si>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</si>
  <si>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</si>
  <si>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</si>
  <si>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</si>
  <si>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</si>
  <si>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</si>
  <si>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</si>
  <si>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</si>
  <si>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</si>
  <si>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</si>
  <si>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</si>
  <si>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</si>
  <si>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</si>
  <si>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</si>
  <si>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</si>
  <si>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</si>
  <si>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</si>
  <si>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</si>
  <si>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</si>
  <si>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</si>
  <si>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</si>
  <si>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</si>
  <si>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</si>
  <si>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</si>
  <si>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</si>
  <si>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</si>
  <si>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</si>
  <si>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</si>
  <si>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</si>
  <si>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</si>
  <si>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</si>
  <si>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</si>
  <si>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</si>
  <si>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</si>
  <si>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</si>
  <si>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</si>
  <si>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</si>
  <si>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</si>
  <si>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</si>
  <si>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</si>
  <si>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</si>
  <si>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</si>
  <si>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</si>
  <si>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</si>
  <si>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</si>
  <si>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</si>
  <si>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</si>
  <si>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</si>
  <si>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</si>
  <si>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</si>
  <si>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</si>
  <si>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</si>
  <si>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</si>
  <si>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</si>
  <si>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</si>
  <si>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</si>
  <si>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</si>
  <si>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</si>
  <si>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</si>
  <si>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</si>
  <si>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</si>
  <si>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</si>
  <si>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</si>
  <si>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</si>
  <si>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</si>
  <si>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</si>
  <si>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</si>
  <si>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</si>
  <si>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</si>
  <si>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</si>
  <si>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</si>
  <si>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</si>
  <si>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</si>
  <si>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</si>
  <si>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</si>
  <si>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</si>
  <si>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</si>
  <si>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</si>
  <si>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</si>
  <si>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</si>
  <si>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</si>
  <si>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</si>
  <si>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</si>
  <si>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</si>
  <si>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</si>
  <si>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</si>
  <si>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</si>
  <si>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</si>
  <si>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</si>
  <si>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</si>
  <si>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</si>
  <si>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</si>
  <si>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</si>
  <si>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</si>
  <si>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</si>
  <si>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</si>
  <si>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</si>
  <si>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</si>
  <si>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</si>
  <si>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</si>
  <si>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</si>
  <si>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</si>
  <si>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</si>
  <si>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</si>
  <si>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</si>
  <si>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</si>
  <si>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</si>
  <si>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</si>
  <si>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</si>
  <si>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</si>
  <si>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</si>
  <si>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</si>
  <si>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</si>
  <si>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</si>
  <si>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</si>
  <si>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</si>
  <si>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</si>
  <si>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</si>
  <si>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</si>
  <si>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</si>
  <si>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</si>
  <si>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</si>
  <si>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</si>
  <si>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</si>
  <si>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</si>
  <si>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</si>
  <si>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</si>
  <si>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</si>
  <si>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</si>
  <si>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</si>
  <si>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</si>
  <si>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</si>
  <si>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</si>
  <si>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</si>
  <si>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</si>
  <si>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</si>
  <si>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</si>
  <si>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</si>
  <si>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</si>
  <si>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</si>
  <si>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</si>
  <si>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</si>
  <si>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</si>
  <si>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</si>
  <si>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</si>
  <si>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</si>
  <si>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</si>
  <si>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</si>
  <si>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</si>
  <si>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</si>
  <si>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</si>
  <si>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</si>
  <si>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</si>
  <si>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</si>
  <si>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</si>
  <si>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</si>
  <si>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</si>
  <si>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</si>
  <si>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</si>
  <si>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</si>
  <si>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</si>
  <si>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</si>
  <si>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</si>
  <si>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</si>
  <si>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</si>
  <si>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</si>
  <si>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</si>
  <si>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</si>
  <si>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</si>
  <si>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</si>
  <si>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</si>
  <si>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</si>
  <si>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</si>
  <si>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</si>
  <si>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</si>
  <si>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</si>
  <si>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</si>
  <si>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</si>
  <si>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</si>
  <si>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</si>
  <si>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</si>
  <si>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</si>
  <si>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</si>
  <si>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</si>
  <si>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</si>
  <si>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</si>
  <si>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</si>
  <si>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</si>
  <si>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</si>
  <si>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</si>
  <si>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</si>
  <si>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</si>
  <si>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</si>
  <si>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</si>
  <si>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</si>
  <si>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</si>
  <si>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</si>
  <si>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</si>
  <si>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</si>
  <si>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</si>
  <si>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</si>
  <si>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</si>
  <si>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</si>
  <si>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</si>
  <si>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</si>
  <si>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</si>
  <si>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</si>
  <si>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</si>
  <si>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</si>
  <si>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</si>
  <si>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</si>
  <si>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</si>
  <si>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</si>
  <si>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</si>
  <si>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</si>
  <si>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</si>
  <si>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</si>
  <si>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</si>
  <si>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</si>
  <si>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</si>
  <si>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</si>
  <si>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</si>
  <si>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</si>
  <si>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</si>
  <si>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</si>
  <si>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</si>
  <si>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</si>
  <si>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</si>
  <si>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</si>
  <si>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</si>
  <si>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</si>
  <si>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</si>
  <si>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</si>
  <si>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</si>
  <si>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</si>
  <si>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</si>
  <si>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</si>
  <si>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</si>
  <si>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</si>
  <si>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</si>
  <si>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</si>
  <si>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</si>
  <si>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</si>
  <si>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</si>
  <si>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</si>
  <si>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</si>
  <si>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</si>
  <si>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</si>
  <si>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</si>
  <si>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</si>
  <si>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</si>
  <si>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</si>
  <si>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</si>
  <si>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</si>
  <si>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</si>
  <si>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</si>
  <si>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</si>
  <si>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</si>
  <si>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</si>
  <si>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</si>
  <si>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</si>
  <si>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</si>
  <si>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</si>
  <si>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</si>
  <si>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</si>
  <si>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</si>
  <si>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</si>
  <si>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</si>
  <si>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</si>
  <si>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</si>
  <si>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</si>
  <si>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</si>
  <si>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</si>
  <si>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</si>
  <si>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</si>
  <si>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</si>
  <si>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</si>
  <si>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</si>
  <si>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</si>
  <si>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</si>
  <si>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</si>
  <si>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</si>
  <si>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</si>
  <si>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</si>
  <si>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</si>
  <si>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</si>
  <si>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</si>
  <si>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</si>
  <si>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</si>
  <si>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</si>
  <si>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</si>
  <si>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</si>
  <si>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</si>
  <si>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</si>
  <si>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</si>
  <si>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</si>
  <si>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</si>
  <si>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</si>
  <si>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</si>
  <si>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</si>
  <si>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</si>
  <si>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</si>
  <si>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</si>
  <si>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</si>
  <si>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</si>
  <si>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</si>
  <si>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</si>
  <si>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</si>
  <si>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</si>
  <si>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</si>
  <si>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</si>
  <si>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</si>
  <si>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</si>
  <si>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</si>
  <si>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</si>
  <si>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</si>
  <si>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</si>
  <si>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</si>
  <si>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</si>
  <si>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</si>
  <si>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</si>
  <si>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</si>
  <si>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</si>
  <si>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</si>
  <si>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</si>
  <si>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</si>
  <si>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</si>
  <si>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</si>
  <si>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</si>
  <si>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</si>
  <si>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</si>
  <si>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</si>
  <si>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</si>
  <si>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</si>
  <si>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</si>
  <si>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</si>
  <si>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</si>
  <si>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</si>
  <si>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</si>
  <si>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</si>
  <si>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</si>
  <si>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</si>
  <si>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</si>
  <si>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</si>
  <si>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</si>
  <si>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</si>
  <si>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</si>
  <si>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</si>
  <si>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</si>
  <si>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</si>
  <si>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</si>
  <si>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</si>
  <si>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</si>
  <si>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</si>
  <si>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</si>
  <si>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</si>
  <si>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</si>
  <si>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</si>
  <si>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</si>
  <si>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</si>
  <si>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</si>
  <si>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</si>
  <si>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</si>
  <si>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</si>
  <si>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</si>
  <si>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</si>
  <si>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</si>
  <si>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</si>
  <si>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</si>
  <si>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</si>
  <si>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</si>
  <si>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</si>
  <si>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</si>
  <si>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</si>
  <si>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</si>
  <si>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</si>
  <si>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</si>
  <si>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</si>
  <si>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</si>
  <si>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</si>
  <si>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</si>
  <si>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</si>
  <si>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</si>
  <si>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</si>
  <si>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</si>
  <si>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</si>
  <si>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</si>
  <si>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</si>
  <si>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</si>
  <si>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</si>
  <si>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</si>
  <si>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</si>
  <si>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</si>
  <si>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</si>
  <si>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</si>
  <si>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</si>
  <si>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</si>
  <si>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</si>
  <si>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</si>
  <si>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</si>
  <si>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</si>
  <si>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</si>
  <si>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</si>
  <si>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</si>
  <si>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</si>
  <si>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</si>
  <si>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</si>
  <si>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</si>
  <si>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</si>
  <si>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</si>
  <si>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</si>
  <si>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</si>
  <si>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</si>
  <si>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</si>
  <si>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</si>
  <si>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</si>
  <si>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</si>
  <si>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</si>
  <si>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</si>
  <si>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</si>
  <si>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</si>
  <si>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</si>
  <si>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</si>
  <si>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</si>
  <si>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</si>
  <si>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</si>
  <si>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</si>
  <si>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</si>
  <si>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</si>
  <si>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</si>
  <si>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</si>
  <si>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</si>
  <si>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</si>
  <si>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</si>
  <si>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</si>
  <si>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</si>
  <si>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</si>
  <si>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</si>
  <si>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</si>
  <si>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</si>
  <si>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</si>
  <si>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</si>
  <si>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</si>
  <si>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</si>
  <si>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</si>
  <si>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</si>
  <si>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</si>
  <si>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</si>
  <si>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</si>
  <si>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</si>
  <si>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</si>
  <si>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</si>
  <si>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</si>
  <si>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</si>
  <si>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</si>
  <si>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</si>
  <si>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</si>
  <si>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</si>
  <si>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</si>
  <si>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</si>
  <si>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</si>
  <si>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</si>
  <si>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</si>
  <si>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</si>
  <si>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</si>
  <si>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</si>
  <si>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</si>
  <si>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</si>
  <si>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</si>
  <si>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</si>
  <si>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</si>
  <si>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</si>
  <si>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</si>
  <si>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</si>
  <si>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</si>
  <si>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</si>
  <si>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</si>
  <si>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</si>
  <si>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</si>
  <si>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</si>
  <si>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</si>
  <si>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</si>
  <si>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</si>
  <si>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</si>
  <si>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</si>
  <si>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</si>
  <si>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</si>
  <si>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</si>
  <si>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</si>
  <si>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</si>
  <si>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</si>
  <si>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</si>
  <si>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</si>
  <si>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</si>
  <si>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</si>
  <si>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</si>
  <si>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</si>
  <si>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</si>
  <si>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</si>
  <si>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</si>
  <si>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</si>
  <si>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</si>
  <si>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</si>
  <si>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</si>
  <si>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</si>
  <si>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</si>
  <si>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</si>
  <si>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</si>
  <si>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</si>
  <si>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</si>
  <si>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</si>
  <si>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</si>
  <si>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</si>
  <si>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</si>
  <si>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</si>
  <si>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</si>
  <si>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</si>
  <si>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</si>
  <si>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</si>
  <si>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</si>
  <si>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</si>
  <si>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</si>
  <si>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</si>
  <si>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</si>
  <si>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</si>
  <si>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</si>
  <si>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</si>
  <si>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</si>
  <si>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</si>
  <si>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</si>
  <si>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</si>
  <si>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</si>
  <si>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</si>
  <si>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</si>
  <si>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</si>
  <si>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</si>
  <si>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</si>
  <si>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</si>
  <si>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</si>
  <si>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</si>
  <si>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</si>
  <si>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</si>
  <si>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</si>
  <si>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</si>
  <si>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</si>
  <si>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</si>
  <si>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</si>
  <si>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</si>
  <si>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</si>
  <si>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</si>
  <si>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</si>
  <si>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</si>
  <si>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</si>
  <si>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</si>
  <si>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</si>
  <si>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</si>
  <si>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</si>
  <si>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</si>
  <si>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</si>
  <si>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</si>
  <si>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</si>
  <si>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</si>
  <si>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</si>
  <si>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</si>
  <si>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</si>
  <si>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</si>
  <si>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</si>
  <si>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</si>
  <si>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</si>
  <si>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</si>
  <si>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</si>
  <si>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</si>
  <si>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</si>
  <si>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</si>
  <si>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</si>
  <si>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</si>
  <si>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</si>
  <si>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</si>
  <si>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</si>
  <si>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</si>
  <si>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</si>
  <si>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</si>
  <si>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</si>
  <si>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</si>
  <si>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</si>
  <si>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</si>
  <si>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</si>
  <si>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</si>
  <si>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</si>
  <si>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</si>
  <si>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</si>
  <si>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</si>
  <si>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</si>
  <si>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</si>
  <si>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</si>
  <si>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</si>
  <si>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</si>
  <si>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</si>
  <si>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</si>
  <si>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</si>
  <si>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</si>
  <si>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</si>
  <si>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</si>
  <si>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</si>
  <si>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</si>
  <si>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</si>
  <si>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</si>
  <si>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</si>
  <si>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</si>
  <si>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</si>
  <si>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</si>
  <si>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</si>
  <si>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</si>
  <si>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</si>
  <si>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</si>
  <si>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</si>
  <si>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</si>
  <si>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</si>
  <si>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</si>
  <si>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</si>
  <si>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</si>
  <si>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</si>
  <si>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</si>
  <si>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</si>
  <si>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</si>
  <si>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</si>
  <si>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</si>
  <si>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</si>
  <si>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</si>
  <si>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</si>
  <si>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</si>
  <si>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</si>
  <si>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</si>
  <si>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</si>
  <si>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</si>
  <si>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</si>
  <si>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</si>
  <si>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</si>
  <si>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</si>
  <si>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</si>
  <si>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</si>
  <si>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</si>
  <si>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</si>
  <si>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</si>
  <si>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</si>
  <si>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</si>
  <si>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</si>
  <si>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</si>
  <si>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</si>
  <si>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</si>
  <si>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</si>
  <si>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</si>
  <si>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</si>
  <si>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</si>
  <si>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</si>
  <si>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</si>
  <si>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</si>
  <si>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</si>
  <si>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</si>
  <si>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</si>
  <si>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</si>
  <si>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</si>
  <si>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</si>
  <si>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</si>
  <si>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</si>
  <si>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</si>
  <si>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</si>
  <si>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</si>
  <si>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</si>
  <si>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</si>
  <si>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</si>
  <si>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</si>
  <si>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</si>
  <si>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</si>
  <si>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</si>
  <si>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</si>
  <si>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</si>
  <si>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</si>
  <si>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</si>
  <si>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</si>
  <si>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</si>
  <si>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</si>
  <si>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</si>
  <si>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</si>
  <si>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</si>
  <si>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</si>
  <si>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</si>
  <si>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</si>
  <si>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</si>
  <si>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</si>
  <si>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</si>
  <si>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</si>
  <si>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</si>
  <si>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</si>
  <si>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</si>
  <si>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</si>
  <si>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</si>
  <si>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</si>
  <si>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</si>
  <si>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</si>
  <si>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</si>
  <si>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</si>
  <si>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</si>
  <si>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</si>
  <si>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</si>
  <si>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</si>
  <si>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</si>
  <si>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</si>
  <si>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</si>
  <si>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</si>
  <si>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</si>
  <si>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</si>
  <si>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</si>
  <si>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</si>
  <si>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</si>
  <si>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</si>
  <si>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</si>
  <si>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</si>
  <si>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</si>
  <si>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</si>
  <si>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</si>
  <si>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</si>
  <si>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</si>
  <si>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</si>
  <si>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</si>
  <si>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</si>
  <si>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</si>
  <si>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</si>
  <si>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</si>
  <si>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</si>
  <si>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</si>
  <si>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</si>
  <si>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</si>
  <si>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</si>
  <si>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</si>
  <si>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</si>
  <si>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</si>
  <si>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</si>
  <si>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</si>
  <si>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</si>
  <si>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</si>
  <si>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</si>
  <si>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</si>
  <si>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</si>
  <si>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</si>
  <si>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</si>
  <si>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</si>
  <si>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</si>
  <si>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</si>
  <si>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</si>
  <si>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</si>
  <si>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</si>
  <si>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</si>
  <si>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</si>
  <si>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</si>
  <si>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</si>
  <si>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</si>
  <si>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</si>
  <si>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</si>
  <si>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</si>
  <si>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</si>
  <si>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</si>
  <si>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</si>
  <si>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</si>
  <si>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</si>
  <si>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</si>
  <si>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</si>
  <si>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</si>
  <si>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</si>
  <si>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</si>
  <si>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</si>
  <si>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</si>
  <si>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</si>
  <si>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</si>
  <si>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</si>
  <si>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</si>
  <si>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</si>
  <si>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</si>
  <si>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</si>
  <si>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</si>
  <si>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</si>
  <si>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</si>
  <si>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</si>
  <si>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</si>
  <si>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</si>
  <si>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</si>
  <si>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</si>
  <si>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</si>
  <si>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</si>
  <si>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</si>
  <si>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</si>
  <si>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</si>
  <si>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</si>
  <si>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</si>
  <si>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</si>
  <si>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</si>
  <si>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</si>
  <si>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</si>
  <si>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</si>
  <si>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</si>
  <si>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</si>
  <si>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</si>
  <si>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</si>
  <si>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</si>
  <si>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</si>
  <si>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</si>
  <si>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</si>
  <si>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</si>
  <si>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</si>
  <si>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</si>
  <si>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</si>
  <si>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</si>
  <si>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</si>
  <si>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</si>
  <si>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</si>
  <si>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</si>
  <si>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</si>
  <si>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</si>
  <si>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</si>
  <si>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</si>
  <si>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</si>
  <si>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</si>
  <si>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</si>
  <si>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</si>
  <si>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</si>
  <si>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</si>
  <si>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</si>
  <si>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</si>
  <si>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</si>
  <si>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</si>
  <si>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</si>
  <si>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</si>
  <si>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</si>
  <si>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</si>
  <si>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</si>
  <si>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</si>
  <si>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</si>
  <si>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</si>
  <si>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</si>
  <si>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</si>
  <si>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</si>
  <si>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</si>
  <si>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</si>
  <si>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</si>
  <si>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</si>
  <si>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</si>
  <si>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</si>
  <si>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</si>
  <si>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</si>
  <si>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</si>
  <si>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</si>
  <si>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</si>
  <si>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</si>
  <si>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</si>
  <si>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</si>
  <si>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</si>
  <si>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</si>
  <si>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</si>
  <si>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</si>
  <si>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</si>
  <si>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</si>
  <si>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</si>
  <si>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</si>
  <si>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</si>
  <si>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</si>
  <si>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</si>
  <si>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</si>
  <si>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</si>
  <si>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</si>
  <si>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</si>
  <si>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</si>
  <si>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</si>
  <si>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</si>
  <si>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</si>
  <si>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</si>
  <si>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</si>
  <si>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</si>
  <si>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</si>
  <si>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</si>
  <si>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</si>
  <si>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</si>
  <si>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</si>
  <si>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</si>
  <si>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</si>
  <si>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</si>
  <si>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</si>
  <si>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</si>
  <si>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</si>
  <si>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</si>
  <si>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</si>
  <si>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</si>
  <si>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</si>
  <si>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</si>
  <si>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</si>
  <si>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</si>
  <si>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</si>
  <si>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</si>
  <si>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</si>
  <si>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</si>
  <si>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</si>
  <si>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</si>
  <si>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</si>
  <si>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</si>
  <si>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</si>
  <si>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</si>
  <si>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</si>
  <si>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</si>
  <si>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</si>
  <si>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</si>
  <si>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</si>
  <si>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</si>
  <si>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</si>
  <si>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</si>
  <si>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</si>
  <si>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</si>
  <si>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</si>
  <si>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</si>
  <si>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</si>
  <si>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</si>
  <si>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</si>
  <si>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</si>
  <si>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</si>
  <si>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</si>
  <si>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</si>
  <si>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</si>
  <si>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</si>
  <si>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</si>
  <si>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</si>
  <si>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</si>
  <si>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</si>
  <si>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</si>
  <si>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</si>
  <si>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</si>
  <si>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</si>
  <si>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</si>
  <si>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</si>
  <si>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</si>
  <si>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</si>
  <si>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</si>
  <si>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</si>
  <si>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</si>
  <si>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</si>
  <si>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</si>
  <si>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</si>
  <si>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</si>
  <si>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</si>
  <si>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</si>
  <si>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</si>
  <si>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</si>
  <si>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</si>
  <si>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</si>
  <si>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</si>
  <si>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</si>
  <si>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</si>
  <si>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</si>
  <si>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</si>
  <si>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</si>
  <si>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</si>
  <si>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</si>
  <si>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</si>
  <si>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</si>
  <si>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</si>
  <si>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</si>
  <si>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</si>
  <si>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</si>
  <si>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</si>
  <si>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</si>
  <si>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</si>
  <si>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</si>
  <si>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</si>
  <si>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</si>
  <si>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</si>
  <si>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</si>
  <si>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</si>
  <si>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</si>
  <si>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</si>
  <si>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</si>
  <si>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</si>
  <si>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</si>
  <si>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</si>
  <si>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</si>
  <si>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</si>
  <si>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</si>
  <si>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</si>
  <si>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</si>
  <si>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</si>
  <si>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</si>
  <si>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</si>
  <si>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</si>
  <si>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</si>
  <si>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</si>
  <si>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</si>
  <si>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</si>
  <si>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</si>
  <si>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</si>
  <si>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</si>
  <si>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</si>
  <si>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</si>
  <si>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</si>
  <si>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</si>
  <si>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</si>
  <si>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</si>
  <si>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</si>
  <si>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</si>
  <si>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</si>
  <si>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</si>
  <si>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</si>
  <si>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</si>
  <si>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</si>
  <si>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</si>
  <si>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</si>
  <si>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</si>
  <si>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</si>
  <si>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</si>
  <si>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</si>
  <si>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</si>
  <si>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</si>
  <si>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</si>
  <si>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</si>
  <si>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</si>
  <si>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</si>
  <si>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</si>
  <si>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</si>
  <si>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</si>
  <si>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</si>
  <si>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</si>
  <si>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</si>
  <si>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</si>
  <si>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</si>
  <si>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</si>
  <si>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</si>
  <si>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</si>
  <si>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</si>
  <si>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</si>
  <si>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</si>
  <si>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</si>
  <si>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</si>
  <si>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</si>
  <si>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</si>
  <si>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</si>
  <si>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</si>
  <si>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</si>
  <si>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</si>
  <si>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</si>
  <si>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</si>
  <si>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</si>
  <si>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</si>
  <si>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</si>
  <si>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</si>
  <si>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</si>
  <si>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</si>
  <si>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</si>
  <si>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</si>
  <si>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</si>
  <si>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</si>
  <si>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</si>
  <si>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</si>
  <si>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</si>
  <si>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</si>
  <si>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</si>
  <si>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</si>
  <si>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</si>
  <si>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</si>
  <si>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</si>
  <si>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</si>
  <si>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</si>
  <si>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</si>
  <si>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</si>
  <si>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</si>
  <si>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</si>
  <si>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</si>
  <si>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</si>
  <si>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</si>
  <si>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</si>
  <si>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</si>
  <si>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</si>
  <si>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</si>
  <si>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</si>
  <si>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</si>
  <si>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</si>
  <si>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</si>
  <si>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</si>
  <si>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</si>
  <si>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</si>
  <si>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</si>
  <si>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</si>
  <si>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</si>
  <si>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</si>
  <si>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</si>
  <si>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</si>
  <si>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</si>
  <si>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</si>
  <si>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</si>
  <si>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</si>
  <si>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</si>
  <si>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</si>
  <si>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</si>
  <si>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</si>
  <si>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</si>
  <si>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</si>
  <si>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</si>
  <si>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</si>
  <si>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</si>
  <si>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</si>
  <si>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</si>
  <si>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</si>
  <si>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</si>
  <si>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</si>
  <si>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</si>
  <si>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</si>
  <si>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</si>
  <si>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</si>
  <si>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</si>
  <si>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</si>
  <si>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</si>
  <si>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</si>
  <si>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</si>
  <si>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</si>
  <si>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</si>
  <si>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</si>
  <si>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</si>
  <si>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</si>
  <si>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</si>
  <si>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</si>
  <si>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</si>
  <si>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</si>
  <si>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</si>
  <si>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</si>
  <si>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</si>
  <si>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</si>
  <si>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</si>
  <si>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</si>
  <si>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</si>
  <si>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</si>
  <si>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</si>
  <si>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</si>
  <si>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</si>
  <si>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</si>
  <si>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</si>
  <si>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</si>
  <si>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</si>
  <si>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</si>
  <si>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</si>
  <si>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</si>
  <si>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</si>
  <si>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</si>
  <si>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</si>
  <si>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</si>
  <si>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</si>
  <si>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</si>
  <si>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</si>
  <si>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</si>
  <si>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</si>
  <si>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</si>
  <si>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</si>
  <si>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</si>
  <si>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</si>
  <si>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</si>
  <si>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</si>
  <si>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</si>
  <si>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</si>
  <si>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</si>
  <si>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</si>
  <si>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</si>
  <si>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</si>
  <si>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</si>
  <si>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</si>
  <si>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</si>
  <si>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</si>
  <si>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</si>
  <si>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</si>
  <si>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</si>
  <si>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</si>
  <si>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</si>
  <si>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</si>
  <si>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</si>
  <si>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</si>
  <si>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</si>
  <si>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</si>
  <si>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</si>
  <si>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</si>
  <si>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</si>
  <si>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</si>
  <si>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</si>
  <si>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</si>
  <si>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</si>
  <si>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</si>
  <si>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</si>
  <si>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</si>
  <si>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</si>
  <si>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</si>
  <si>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</si>
  <si>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</si>
  <si>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</si>
  <si>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</si>
  <si>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</si>
  <si>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</si>
  <si>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</si>
  <si>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</si>
  <si>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</si>
  <si>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</si>
  <si>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</si>
  <si>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</si>
  <si>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</si>
  <si>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</si>
  <si>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</si>
  <si>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</si>
  <si>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</si>
  <si>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</si>
  <si>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</si>
  <si>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</si>
  <si>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</si>
  <si>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</si>
  <si>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</si>
  <si>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</si>
  <si>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</si>
  <si>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</si>
  <si>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</si>
  <si>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</si>
  <si>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</si>
  <si>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</si>
  <si>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</si>
  <si>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</si>
  <si>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</si>
  <si>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</si>
  <si>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</si>
  <si>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</si>
  <si>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</si>
  <si>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</si>
  <si>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</si>
  <si>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</si>
  <si>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</si>
  <si>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</si>
  <si>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</si>
  <si>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</si>
  <si>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</si>
  <si>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</si>
  <si>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</si>
  <si>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</si>
  <si>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</si>
  <si>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</si>
  <si>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</si>
  <si>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</si>
  <si>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</si>
  <si>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</si>
  <si>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</si>
  <si>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</si>
  <si>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</si>
  <si>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</si>
  <si>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</si>
  <si>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</si>
  <si>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</si>
  <si>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</si>
  <si>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</si>
  <si>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</si>
  <si>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</si>
  <si>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</si>
  <si>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</si>
  <si>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</si>
  <si>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</si>
  <si>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</si>
  <si>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</si>
  <si>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</si>
  <si>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</si>
  <si>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</si>
  <si>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</si>
  <si>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</si>
  <si>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</si>
  <si>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</si>
  <si>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</si>
  <si>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</si>
  <si>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</si>
  <si>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</si>
  <si>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</si>
  <si>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</si>
  <si>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</si>
  <si>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</si>
  <si>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</si>
  <si>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</si>
  <si>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</si>
  <si>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</si>
  <si>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</si>
  <si>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</si>
  <si>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</si>
  <si>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</si>
  <si>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</si>
  <si>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</si>
  <si>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</si>
  <si>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</si>
  <si>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</si>
  <si>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</si>
  <si>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</si>
  <si>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</si>
  <si>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</si>
  <si>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</si>
  <si>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</si>
  <si>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</si>
  <si>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</si>
  <si>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</si>
  <si>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</si>
  <si>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</si>
  <si>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</si>
  <si>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</si>
  <si>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</si>
  <si>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</si>
  <si>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</si>
  <si>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</si>
  <si>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</si>
  <si>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</si>
  <si>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</si>
  <si>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</si>
  <si>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</si>
  <si>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</si>
  <si>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</si>
  <si>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</si>
  <si>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</si>
  <si>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</si>
  <si>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</si>
  <si>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</si>
  <si>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</si>
  <si>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</si>
  <si>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</si>
  <si>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</si>
  <si>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</si>
  <si>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</si>
  <si>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</si>
  <si>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</si>
  <si>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</si>
  <si>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</si>
  <si>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</si>
  <si>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</si>
  <si>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</si>
  <si>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</si>
  <si>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</si>
  <si>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</si>
  <si>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</si>
  <si>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</si>
  <si>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</si>
  <si>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</si>
  <si>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</si>
  <si>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</si>
  <si>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</si>
  <si>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</si>
  <si>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</si>
  <si>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</si>
  <si>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</si>
  <si>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</si>
  <si>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</si>
  <si>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</si>
  <si>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</si>
  <si>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</si>
  <si>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</si>
  <si>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</si>
  <si>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</si>
  <si>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</si>
  <si>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</si>
  <si>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</si>
  <si>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</si>
  <si>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</si>
  <si>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</si>
  <si>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</si>
  <si>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</si>
  <si>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</si>
  <si>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</si>
  <si>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</si>
  <si>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</si>
  <si>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</si>
  <si>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</si>
  <si>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</si>
  <si>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</si>
  <si>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</si>
  <si>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</si>
  <si>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</si>
  <si>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</si>
  <si>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</si>
  <si>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</si>
  <si>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</si>
  <si>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</si>
  <si>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</si>
  <si>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</si>
  <si>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</si>
  <si>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</si>
  <si>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</si>
  <si>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</si>
  <si>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</si>
  <si>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</si>
  <si>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</si>
  <si>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</si>
  <si>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</si>
  <si>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</si>
  <si>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</si>
  <si>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</si>
  <si>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</si>
  <si>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</si>
  <si>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</si>
  <si>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</si>
  <si>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</si>
  <si>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</si>
  <si>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</si>
  <si>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</si>
  <si>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</si>
  <si>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</si>
  <si>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</si>
  <si>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</si>
  <si>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</si>
  <si>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</si>
  <si>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</si>
  <si>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</si>
  <si>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</si>
  <si>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</si>
  <si>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</si>
  <si>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</si>
  <si>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</si>
  <si>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</si>
  <si>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</si>
  <si>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</si>
  <si>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</si>
  <si>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</si>
  <si>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</si>
  <si>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</si>
  <si>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</si>
  <si>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</si>
  <si>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</si>
  <si>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</si>
  <si>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</si>
  <si>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</si>
  <si>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</si>
  <si>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</si>
  <si>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</si>
  <si>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</si>
  <si>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</si>
  <si>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</si>
  <si>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</si>
  <si>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</si>
  <si>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</si>
  <si>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</si>
  <si>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</si>
  <si>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</si>
  <si>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</si>
  <si>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</si>
  <si>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</si>
  <si>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</si>
  <si>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</si>
  <si>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</si>
  <si>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Var</t>
  </si>
  <si>
    <t>Touet</t>
  </si>
  <si>
    <t>06710020</t>
  </si>
  <si>
    <t>NEWCOD</t>
  </si>
  <si>
    <t>Carex flacca</t>
  </si>
  <si>
    <t>ATTENTION : écart entre rec. par grp (0 %) et</t>
  </si>
  <si>
    <t xml:space="preserve"> rec. par taxa (0,39 %) supérieur à 20 % !</t>
  </si>
  <si>
    <t>très élevé</t>
  </si>
  <si>
    <t>Robustesse:</t>
  </si>
  <si>
    <t>(très élevé)</t>
  </si>
  <si>
    <t>Aurélia Marquis Sylvie Dal Degan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</si>
</sst>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3.emf" /><Relationship Id="rId3" Type="http://schemas.openxmlformats.org/officeDocument/2006/relationships/image" Target="../media/image23.emf" /><Relationship Id="rId4" Type="http://schemas.openxmlformats.org/officeDocument/2006/relationships/image" Target="../media/image16.emf" /><Relationship Id="rId5" Type="http://schemas.openxmlformats.org/officeDocument/2006/relationships/image" Target="../media/image20.emf" /><Relationship Id="rId6" Type="http://schemas.openxmlformats.org/officeDocument/2006/relationships/image" Target="../media/image30.emf" /><Relationship Id="rId7" Type="http://schemas.openxmlformats.org/officeDocument/2006/relationships/image" Target="../media/image21.emf" /><Relationship Id="rId8" Type="http://schemas.openxmlformats.org/officeDocument/2006/relationships/image" Target="../media/image11.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9.emf" /><Relationship Id="rId3" Type="http://schemas.openxmlformats.org/officeDocument/2006/relationships/image" Target="../media/image2.emf" /><Relationship Id="rId4" Type="http://schemas.openxmlformats.org/officeDocument/2006/relationships/image" Target="../media/image46.emf" /><Relationship Id="rId5" Type="http://schemas.openxmlformats.org/officeDocument/2006/relationships/image" Target="../media/image39.emf" /><Relationship Id="rId6" Type="http://schemas.openxmlformats.org/officeDocument/2006/relationships/image" Target="../media/image28.emf" /><Relationship Id="rId7" Type="http://schemas.openxmlformats.org/officeDocument/2006/relationships/image" Target="../media/image34.emf" /><Relationship Id="rId8" Type="http://schemas.openxmlformats.org/officeDocument/2006/relationships/image" Target="../media/image36.emf" /><Relationship Id="rId9" Type="http://schemas.openxmlformats.org/officeDocument/2006/relationships/image" Target="../media/image35.emf" /><Relationship Id="rId10" Type="http://schemas.openxmlformats.org/officeDocument/2006/relationships/image" Target="../media/image38.emf" /><Relationship Id="rId11" Type="http://schemas.openxmlformats.org/officeDocument/2006/relationships/image" Target="../media/image37.emf" /><Relationship Id="rId12" Type="http://schemas.openxmlformats.org/officeDocument/2006/relationships/image" Target="../media/image41.emf" /><Relationship Id="rId13" Type="http://schemas.openxmlformats.org/officeDocument/2006/relationships/image" Target="../media/image40.emf" /><Relationship Id="rId14" Type="http://schemas.openxmlformats.org/officeDocument/2006/relationships/image" Target="../media/image42.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19.emf" /><Relationship Id="rId4" Type="http://schemas.openxmlformats.org/officeDocument/2006/relationships/image" Target="../media/image27.emf" /><Relationship Id="rId5" Type="http://schemas.openxmlformats.org/officeDocument/2006/relationships/image" Target="../media/image25.emf" /><Relationship Id="rId6" Type="http://schemas.openxmlformats.org/officeDocument/2006/relationships/image" Target="../media/image3.emf" /><Relationship Id="rId7" Type="http://schemas.openxmlformats.org/officeDocument/2006/relationships/image" Target="../media/image32.emf" /><Relationship Id="rId8" Type="http://schemas.openxmlformats.org/officeDocument/2006/relationships/image" Target="../media/image26.emf" /><Relationship Id="rId9" Type="http://schemas.openxmlformats.org/officeDocument/2006/relationships/image" Target="../media/image14.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13" sqref="W1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2730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2721</v>
      </c>
      <c r="D3" s="186"/>
      <c r="E3" s="186"/>
      <c r="F3" s="378"/>
      <c r="G3" s="378"/>
      <c r="H3" s="379"/>
      <c r="I3" s="330"/>
      <c r="J3" s="379"/>
      <c r="K3" s="335" t="s">
        <v>2722</v>
      </c>
      <c r="L3" s="377"/>
      <c r="M3" s="329" t="s">
        <v>2719</v>
      </c>
      <c r="N3" s="376"/>
      <c r="O3" s="376"/>
      <c r="P3" s="470"/>
      <c r="Q3" s="183"/>
      <c r="R3" s="183"/>
      <c r="S3" s="183"/>
      <c r="T3" s="183"/>
      <c r="U3" s="183"/>
      <c r="V3" s="183"/>
      <c r="W3" s="280"/>
      <c r="X3" s="193"/>
    </row>
    <row r="4" spans="1:24" ht="13.5" thickBot="1">
      <c r="A4" s="248">
        <v>41852</v>
      </c>
      <c r="B4" s="187"/>
      <c r="C4" s="188"/>
      <c r="D4" s="189"/>
      <c r="E4" s="189"/>
      <c r="F4" s="188"/>
      <c r="G4" s="188"/>
      <c r="H4" s="189"/>
      <c r="I4" s="264" t="s">
        <v>1857</v>
      </c>
      <c r="J4" s="190"/>
      <c r="K4" s="190"/>
      <c r="L4" s="191"/>
      <c r="M4" s="191"/>
      <c r="N4" s="321" t="s">
        <v>2728</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v>
      </c>
      <c r="M5" s="590"/>
      <c r="N5" s="593" t="s">
        <v>941</v>
      </c>
      <c r="O5" s="594">
        <v>6.888888888888889</v>
      </c>
      <c r="P5" s="472"/>
      <c r="Q5" s="183"/>
      <c r="R5" s="183"/>
      <c r="S5" s="183"/>
      <c r="T5" s="183"/>
      <c r="U5" s="183"/>
      <c r="V5" s="183"/>
      <c r="W5" s="280"/>
      <c r="X5" s="192"/>
    </row>
    <row r="6" spans="1:24" ht="13.5" thickBot="1">
      <c r="A6" s="498" t="s">
        <v>1388</v>
      </c>
      <c r="B6" s="82" t="s">
        <v>1034</v>
      </c>
      <c r="C6" s="82"/>
      <c r="D6" s="29"/>
      <c r="E6" s="29"/>
      <c r="F6" s="17"/>
      <c r="G6" s="3"/>
      <c r="H6" s="29"/>
      <c r="I6" s="281" t="s">
        <v>1843</v>
      </c>
      <c r="J6" s="276"/>
      <c r="K6" s="278"/>
      <c r="L6" s="592" t="s">
        <v>2727</v>
      </c>
      <c r="M6" s="591"/>
      <c r="N6" s="616" t="s">
        <v>2729</v>
      </c>
      <c r="O6" s="616"/>
      <c r="P6" s="473"/>
      <c r="Q6" s="183"/>
      <c r="R6" s="183"/>
      <c r="S6" s="183"/>
      <c r="T6" s="183"/>
      <c r="U6" s="183"/>
      <c r="V6" s="183"/>
      <c r="W6" s="280"/>
      <c r="X6" s="193"/>
    </row>
    <row r="7" spans="1:24" ht="12.75">
      <c r="A7" s="499" t="s">
        <v>2578</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8.166666666666666</v>
      </c>
      <c r="O8" s="510">
        <f>IF(ISERROR(AVERAGE(J23:J82)),"      -",AVERAGE(J23:J82))</f>
        <v>1.5</v>
      </c>
      <c r="P8" s="474"/>
      <c r="Q8" s="183"/>
      <c r="R8" s="183"/>
      <c r="S8" s="183"/>
      <c r="T8" s="183"/>
      <c r="U8" s="183"/>
      <c r="V8" s="183"/>
      <c r="W8" s="280"/>
      <c r="X8" s="193"/>
    </row>
    <row r="9" spans="1:24" ht="13.5" thickBot="1">
      <c r="A9" s="498" t="s">
        <v>1871</v>
      </c>
      <c r="B9" s="160">
        <v>0.39</v>
      </c>
      <c r="C9" s="161"/>
      <c r="D9" s="200"/>
      <c r="E9" s="200"/>
      <c r="F9" s="164">
        <f aca="true" t="shared" si="0" ref="F9:F15">($B9*$B$7+$C9*$C$7)/100</f>
        <v>0.39</v>
      </c>
      <c r="G9" s="307"/>
      <c r="H9" s="201"/>
      <c r="I9" s="266"/>
      <c r="J9" s="262"/>
      <c r="K9" s="268"/>
      <c r="L9" s="202"/>
      <c r="M9" s="199" t="s">
        <v>1071</v>
      </c>
      <c r="N9" s="510">
        <f>IF(ISERROR(STDEVP(I23:I82)),"     -",STDEVP(I23:I82))</f>
        <v>3.0776975521032313</v>
      </c>
      <c r="O9" s="510">
        <f>IF(ISERROR(STDEVP(J23:J82)),"      -",STDEVP(J23:J82))</f>
        <v>0.5</v>
      </c>
      <c r="P9" s="474"/>
      <c r="Q9" s="183"/>
      <c r="R9" s="183"/>
      <c r="S9" s="183"/>
      <c r="T9" s="183"/>
      <c r="U9" s="183"/>
      <c r="V9" s="183"/>
      <c r="W9" s="283"/>
      <c r="X9" s="284"/>
    </row>
    <row r="10" spans="1:22" ht="13.5" thickTop="1">
      <c r="A10" s="500" t="s">
        <v>2576</v>
      </c>
      <c r="B10" s="496" t="s">
        <v>2573</v>
      </c>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5</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7</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6</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v>
      </c>
      <c r="L15" s="208"/>
      <c r="M15" s="214" t="s">
        <v>1080</v>
      </c>
      <c r="N15" s="317">
        <f>COUNTIF(J23:J82,"=1")</f>
        <v>3</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3</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0.39</v>
      </c>
      <c r="C20" s="162">
        <f>SUM(C23:C82)</f>
        <v>0</v>
      </c>
      <c r="D20" s="88"/>
      <c r="E20" s="340" t="s">
        <v>1035</v>
      </c>
      <c r="F20" s="166">
        <f>($B20*$B$7+$C20*$C$7)/100</f>
        <v>0.39</v>
      </c>
      <c r="G20" s="15"/>
      <c r="H20" s="32"/>
      <c r="I20" s="265"/>
      <c r="J20" s="265"/>
      <c r="K20" s="16"/>
      <c r="L20" s="17"/>
      <c r="M20" s="10"/>
      <c r="N20" s="10"/>
      <c r="O20" s="467"/>
      <c r="P20" s="479"/>
      <c r="Q20" s="216" t="s">
        <v>1079</v>
      </c>
      <c r="R20" s="183"/>
      <c r="S20" s="183"/>
      <c r="T20" s="183"/>
      <c r="U20" s="183"/>
      <c r="V20" s="183" t="s">
        <v>1130</v>
      </c>
      <c r="W20" s="341" t="s">
        <v>2725</v>
      </c>
    </row>
    <row r="21" spans="1:23" ht="12.75">
      <c r="A21" s="5" t="s">
        <v>196</v>
      </c>
      <c r="B21" s="163">
        <f>B20*B7/100</f>
        <v>0.39</v>
      </c>
      <c r="C21" s="163">
        <f>C20*C7/100</f>
        <v>0</v>
      </c>
      <c r="D21" s="33" t="str">
        <f>IF(F21=0,"",IF((ABS(F21-F19))&gt;(0.2*F21),CONCATENATE(" rec. par taxa (",F21," %) supérieur à 20 % !"),""))</f>
        <v> rec. par taxa (0,39 %) supérieur à 20 % !</v>
      </c>
      <c r="E21" s="343" t="str">
        <f>IF(F21=0,"",IF((ABS(F21-F19))&gt;(0.2*F21),CONCATENATE("ATTENTION : écart entre rec. par grp (",F19," %) ","et",""),""))</f>
        <v>ATTENTION : écart entre rec. par grp (0 %) et</v>
      </c>
      <c r="F21" s="167">
        <f>B21+C21</f>
        <v>0.39</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890</v>
      </c>
      <c r="B23" s="239">
        <v>0.005</v>
      </c>
      <c r="C23" s="240"/>
      <c r="D23" s="221" t="str">
        <f>IF(ISERROR(VLOOKUP($A23,'liste reference'!$A$7:$D$904,2,0)),IF(ISERROR(VLOOKUP($A23,'liste reference'!$B$7:$D$904,1,0)),"",VLOOKUP($A23,'liste reference'!$B$7:$D$904,1,0)),VLOOKUP($A23,'liste reference'!$A$7:$D$904,2,0))</f>
        <v>Bangia sp.</v>
      </c>
      <c r="E23" s="221" t="e">
        <f>IF(D23="",,VLOOKUP(D23,D$22:D22,1,0))</f>
        <v>#N/A</v>
      </c>
      <c r="F23" s="36">
        <f aca="true" t="shared" si="1" ref="F23:F54">($B23*$B$7+$C23*$C$7)/100</f>
        <v>0.005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10</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334"/>
      <c r="M23" s="334"/>
      <c r="N23" s="334"/>
      <c r="O23" s="367"/>
      <c r="P23" s="367">
        <f>IF($A23="NEWCOD",IF($AC23="","No",$AC23),IF(ISTEXT($E23),"DEJA SAISI !",IF($A23="","",IF(ISERROR(VLOOKUP($A23,'liste reference'!A:S,19,FALSE)),IF(ISERROR(VLOOKUP($A23,'liste reference'!B:S,19,FALSE)),"",VLOOKUP($A23,'liste reference'!B:S,19,FALSE)),VLOOKUP($A23,'liste reference'!A:S,19,FALSE)))))</f>
        <v>1153</v>
      </c>
      <c r="Q23" s="222">
        <f aca="true" t="shared" si="2" ref="Q23:Q54">IF(ISTEXT(H23),"",(B23*$B$7/100)+(C23*$C$7/100))</f>
        <v>0.005</v>
      </c>
      <c r="R23" s="223">
        <f aca="true" t="shared" si="3" ref="R23:R54">IF(OR(ISTEXT(H23),Q23=0),"",IF(Q23&lt;0.1,1,IF(Q23&lt;1,2,IF(Q23&lt;10,3,IF(Q23&lt;50,4,IF(Q23&gt;=50,5,""))))))</f>
        <v>1</v>
      </c>
      <c r="S23" s="223">
        <f aca="true" t="shared" si="4" ref="S23:S54">IF(ISERROR(R23*I23),0,R23*I23)</f>
        <v>10</v>
      </c>
      <c r="T23" s="223">
        <f aca="true" t="shared" si="5" ref="T23:T54">IF(ISERROR(R23*I23*J23),0,R23*I23*J23)</f>
        <v>20</v>
      </c>
      <c r="U23" s="223">
        <f aca="true" t="shared" si="6" ref="U23:U54">IF(ISERROR(R23*J23),0,R23*J23)</f>
        <v>2</v>
      </c>
      <c r="V23" s="287">
        <f aca="true" t="shared" si="7" ref="V23:V54">IF(AND(A23="",F23=0),"",IF(F23=0,"Il manque le(s) % de rec. !",""))</f>
      </c>
      <c r="W23" s="289" t="s">
        <v>1130</v>
      </c>
      <c r="Y23" s="324" t="str">
        <f>IF(A23="new.cod","NEWCOD",IF(AND((Z23=""),ISTEXT(A23)),A23,IF(Z23="","",INDEX('liste reference'!$A$8:$A$904,Z23))))</f>
        <v>BANSPX</v>
      </c>
      <c r="Z23" s="183">
        <f>IF(ISERROR(MATCH(A23,'liste reference'!$A$8:$A$904,0)),IF(ISERROR(MATCH(A23,'liste reference'!$B$8:$B$904,0)),"",(MATCH(A23,'liste reference'!$B$8:$B$904,0))),(MATCH(A23,'liste reference'!$A$8:$A$904,0)))</f>
        <v>6</v>
      </c>
      <c r="AA23" s="385"/>
      <c r="AB23" s="372"/>
      <c r="AC23" s="372"/>
      <c r="BB23" s="183">
        <f aca="true" t="shared" si="8" ref="BB23:BB54">IF(A23="","",1)</f>
        <v>1</v>
      </c>
    </row>
    <row r="24" spans="1:54" ht="12.75">
      <c r="A24" s="322" t="s">
        <v>907</v>
      </c>
      <c r="B24" s="241">
        <v>0.2</v>
      </c>
      <c r="C24" s="242"/>
      <c r="D24" s="221" t="str">
        <f>IF(ISERROR(VLOOKUP($A24,'liste reference'!$A$7:$D$904,2,0)),IF(ISERROR(VLOOKUP($A24,'liste reference'!$B$7:$D$904,1,0)),"",VLOOKUP($A24,'liste reference'!$B$7:$D$904,1,0)),VLOOKUP($A24,'liste reference'!$A$7:$D$904,2,0))</f>
        <v>Cladophora sp.</v>
      </c>
      <c r="E24" s="224" t="e">
        <f>IF(D24="",,VLOOKUP(D24,D$22:D23,1,0))</f>
        <v>#N/A</v>
      </c>
      <c r="F24" s="38">
        <f t="shared" si="1"/>
        <v>0.2</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0.2</v>
      </c>
      <c r="R24" s="223">
        <f t="shared" si="3"/>
        <v>2</v>
      </c>
      <c r="S24" s="223">
        <f t="shared" si="4"/>
        <v>12</v>
      </c>
      <c r="T24" s="223">
        <f t="shared" si="5"/>
        <v>12</v>
      </c>
      <c r="U24" s="225">
        <f t="shared" si="6"/>
        <v>2</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939</v>
      </c>
      <c r="B25" s="241">
        <v>0.005</v>
      </c>
      <c r="C25" s="242"/>
      <c r="D25" s="221" t="str">
        <f>IF(ISERROR(VLOOKUP($A25,'liste reference'!$A$7:$D$904,2,0)),IF(ISERROR(VLOOKUP($A25,'liste reference'!$B$7:$D$904,1,0)),"",VLOOKUP($A25,'liste reference'!$B$7:$D$904,1,0)),VLOOKUP($A25,'liste reference'!$A$7:$D$904,2,0))</f>
        <v>Oedogonium sp.</v>
      </c>
      <c r="E25" s="224" t="e">
        <f>IF(D25="",,VLOOKUP(D25,D$22:D24,1,0))</f>
        <v>#N/A</v>
      </c>
      <c r="F25" s="38">
        <f t="shared" si="1"/>
        <v>0.005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Oedogonium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1134</v>
      </c>
      <c r="Q25" s="222">
        <f t="shared" si="2"/>
        <v>0.005</v>
      </c>
      <c r="R25" s="223">
        <f t="shared" si="3"/>
        <v>1</v>
      </c>
      <c r="S25" s="223">
        <f t="shared" si="4"/>
        <v>6</v>
      </c>
      <c r="T25" s="223">
        <f t="shared" si="5"/>
        <v>12</v>
      </c>
      <c r="U25" s="225">
        <f t="shared" si="6"/>
        <v>2</v>
      </c>
      <c r="V25" s="287">
        <f t="shared" si="7"/>
      </c>
      <c r="W25" s="290" t="s">
        <v>1130</v>
      </c>
      <c r="Y25" s="324" t="str">
        <f>IF(A25="new.cod","NEWCOD",IF(AND((Z25=""),ISTEXT(A25)),A25,IF(Z25="","",INDEX('liste reference'!$A$8:$A$904,Z25))))</f>
        <v>OEDSPX</v>
      </c>
      <c r="Z25" s="183">
        <f>IF(ISERROR(MATCH(A25,'liste reference'!$A$8:$A$904,0)),IF(ISERROR(MATCH(A25,'liste reference'!$B$8:$B$904,0)),"",(MATCH(A25,'liste reference'!$B$8:$B$904,0))),(MATCH(A25,'liste reference'!$A$8:$A$904,0)))</f>
        <v>55</v>
      </c>
      <c r="AA25" s="385"/>
      <c r="AB25" s="372"/>
      <c r="AC25" s="372"/>
      <c r="BB25" s="183">
        <f t="shared" si="8"/>
        <v>1</v>
      </c>
    </row>
    <row r="26" spans="1:54" ht="12.75">
      <c r="A26" s="322" t="s">
        <v>941</v>
      </c>
      <c r="B26" s="241">
        <v>0.05</v>
      </c>
      <c r="C26" s="242"/>
      <c r="D26" s="221" t="str">
        <f>IF(ISERROR(VLOOKUP($A26,'liste reference'!$A$7:$D$904,2,0)),IF(ISERROR(VLOOKUP($A26,'liste reference'!$B$7:$D$904,1,0)),"",VLOOKUP($A26,'liste reference'!$B$7:$D$904,1,0)),VLOOKUP($A26,'liste reference'!$A$7:$D$904,2,0))</f>
        <v>Phormidium sp.</v>
      </c>
      <c r="E26" s="224" t="e">
        <f>IF(D26="",,VLOOKUP(D26,D$22:D25,1,0))</f>
        <v>#N/A</v>
      </c>
      <c r="F26" s="38">
        <f t="shared" si="1"/>
        <v>0.05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Phormidium sp.</v>
      </c>
      <c r="L26" s="333"/>
      <c r="M26" s="333"/>
      <c r="N26" s="333"/>
      <c r="O26" s="367"/>
      <c r="P26" s="367">
        <f>IF($A26="NEWCOD",IF($AC26="","No",$AC26),IF(ISTEXT($E26),"DEJA SAISI !",IF($A26="","",IF(ISERROR(VLOOKUP($A26,'liste reference'!A:S,19,FALSE)),IF(ISERROR(VLOOKUP($A26,'liste reference'!B:S,19,FALSE)),"",VLOOKUP($A26,'liste reference'!B:S,19,FALSE)),VLOOKUP($A26,'liste reference'!A:S,19,FALSE)))))</f>
        <v>6414</v>
      </c>
      <c r="Q26" s="222">
        <f t="shared" si="2"/>
        <v>0.05</v>
      </c>
      <c r="R26" s="223">
        <f t="shared" si="3"/>
        <v>1</v>
      </c>
      <c r="S26" s="223">
        <f t="shared" si="4"/>
        <v>13</v>
      </c>
      <c r="T26" s="223">
        <f t="shared" si="5"/>
        <v>26</v>
      </c>
      <c r="U26" s="225">
        <f t="shared" si="6"/>
        <v>2</v>
      </c>
      <c r="V26" s="287">
        <f t="shared" si="7"/>
      </c>
      <c r="W26" s="289" t="s">
        <v>1130</v>
      </c>
      <c r="Y26" s="324" t="str">
        <f>IF(A26="new.cod","NEWCOD",IF(AND((Z26=""),ISTEXT(A26)),A26,IF(Z26="","",INDEX('liste reference'!$A$8:$A$904,Z26))))</f>
        <v>PHOSPX</v>
      </c>
      <c r="Z26" s="183">
        <f>IF(ISERROR(MATCH(A26,'liste reference'!$A$8:$A$904,0)),IF(ISERROR(MATCH(A26,'liste reference'!$B$8:$B$904,0)),"",(MATCH(A26,'liste reference'!$B$8:$B$904,0))),(MATCH(A26,'liste reference'!$A$8:$A$904,0)))</f>
        <v>57</v>
      </c>
      <c r="AA26" s="385"/>
      <c r="AB26" s="372"/>
      <c r="AC26" s="372"/>
      <c r="BB26" s="183">
        <f t="shared" si="8"/>
        <v>1</v>
      </c>
    </row>
    <row r="27" spans="1:54" ht="12.75">
      <c r="A27" s="322" t="s">
        <v>966</v>
      </c>
      <c r="B27" s="241">
        <v>0.1</v>
      </c>
      <c r="C27" s="242"/>
      <c r="D27" s="221" t="str">
        <f>IF(ISERROR(VLOOKUP($A27,'liste reference'!$A$7:$D$904,2,0)),IF(ISERROR(VLOOKUP($A27,'liste reference'!$B$7:$D$904,1,0)),"",VLOOKUP($A27,'liste reference'!$B$7:$D$904,1,0)),VLOOKUP($A27,'liste reference'!$A$7:$D$904,2,0))</f>
        <v>Vaucheria sp.</v>
      </c>
      <c r="E27" s="224" t="e">
        <f>IF(D27="",,VLOOKUP(D27,D$22:D26,1,0))</f>
        <v>#N/A</v>
      </c>
      <c r="F27" s="38">
        <f t="shared" si="1"/>
        <v>0.1</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4</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Vaucheria sp.</v>
      </c>
      <c r="L27" s="333"/>
      <c r="M27" s="333"/>
      <c r="N27" s="333"/>
      <c r="O27" s="367"/>
      <c r="P27" s="367">
        <f>IF($A27="NEWCOD",IF($AC27="","No",$AC27),IF(ISTEXT($E27),"DEJA SAISI !",IF($A27="","",IF(ISERROR(VLOOKUP($A27,'liste reference'!A:S,19,FALSE)),IF(ISERROR(VLOOKUP($A27,'liste reference'!B:S,19,FALSE)),"",VLOOKUP($A27,'liste reference'!B:S,19,FALSE)),VLOOKUP($A27,'liste reference'!A:S,19,FALSE)))))</f>
        <v>6193</v>
      </c>
      <c r="Q27" s="222">
        <f t="shared" si="2"/>
        <v>0.1</v>
      </c>
      <c r="R27" s="223">
        <f t="shared" si="3"/>
        <v>2</v>
      </c>
      <c r="S27" s="223">
        <f t="shared" si="4"/>
        <v>8</v>
      </c>
      <c r="T27" s="223">
        <f t="shared" si="5"/>
        <v>8</v>
      </c>
      <c r="U27" s="225">
        <f t="shared" si="6"/>
        <v>2</v>
      </c>
      <c r="V27" s="287">
        <f t="shared" si="7"/>
      </c>
      <c r="W27" s="289" t="s">
        <v>1130</v>
      </c>
      <c r="Y27" s="324" t="str">
        <f>IF(A27="new.cod","NEWCOD",IF(AND((Z27=""),ISTEXT(A27)),A27,IF(Z27="","",INDEX('liste reference'!$A$8:$A$904,Z27))))</f>
        <v>VAUSPX</v>
      </c>
      <c r="Z27" s="183">
        <f>IF(ISERROR(MATCH(A27,'liste reference'!$A$8:$A$904,0)),IF(ISERROR(MATCH(A27,'liste reference'!$B$8:$B$904,0)),"",(MATCH(A27,'liste reference'!$B$8:$B$904,0))),(MATCH(A27,'liste reference'!$A$8:$A$904,0)))</f>
        <v>82</v>
      </c>
      <c r="AA27" s="385"/>
      <c r="AB27" s="372"/>
      <c r="AC27" s="372"/>
      <c r="BB27" s="183">
        <f t="shared" si="8"/>
        <v>1</v>
      </c>
    </row>
    <row r="28" spans="1:54" ht="12.75">
      <c r="A28" s="322" t="s">
        <v>366</v>
      </c>
      <c r="B28" s="241">
        <v>0.01</v>
      </c>
      <c r="C28" s="242"/>
      <c r="D28" s="221" t="str">
        <f>IF(ISERROR(VLOOKUP($A28,'liste reference'!$A$7:$D$904,2,0)),IF(ISERROR(VLOOKUP($A28,'liste reference'!$B$7:$D$904,1,0)),"",VLOOKUP($A28,'liste reference'!$B$7:$D$904,1,0)),VLOOKUP($A28,'liste reference'!$A$7:$D$904,2,0))</f>
        <v>Agrostis stolonifera</v>
      </c>
      <c r="E28" s="224" t="e">
        <f>IF(D28="",,VLOOKUP(D28,D$22:D27,1,0))</f>
        <v>#N/A</v>
      </c>
      <c r="F28" s="38">
        <f t="shared" si="1"/>
        <v>0.01</v>
      </c>
      <c r="G28" s="507" t="str">
        <f>IF(A28="","",IF(ISERROR(VLOOKUP($A28,'liste reference'!$A$7:$P$904,13,0)),IF(ISERROR(VLOOKUP($A28,'liste reference'!$B$7:$P$904,12,0)),"    -",VLOOKUP($A28,'liste reference'!$B$7:$P$904,12,0)),VLOOKUP($A28,'liste reference'!$A$7:$P$904,13,0)))</f>
        <v>PHe</v>
      </c>
      <c r="H28" s="508">
        <f>IF(A28="","x",IF(ISERROR(VLOOKUP($A28,'liste reference'!$A$8:$P$904,14,0)),IF(ISERROR(VLOOKUP($A28,'liste reference'!$B$8:$P$904,13,0)),"x",VLOOKUP($A28,'liste reference'!$B$8:$P$904,13,0)),VLOOKUP($A28,'liste reference'!$A$8:$P$904,14,0)))</f>
        <v>8</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Agrostis stolonifera</v>
      </c>
      <c r="L28" s="333"/>
      <c r="M28" s="333"/>
      <c r="N28" s="333"/>
      <c r="O28" s="367"/>
      <c r="P28" s="367">
        <f>IF($A28="NEWCOD",IF($AC28="","No",$AC28),IF(ISTEXT($E28),"DEJA SAISI !",IF($A28="","",IF(ISERROR(VLOOKUP($A28,'liste reference'!A:S,19,FALSE)),IF(ISERROR(VLOOKUP($A28,'liste reference'!B:S,19,FALSE)),"",VLOOKUP($A28,'liste reference'!B:S,19,FALSE)),VLOOKUP($A28,'liste reference'!A:S,19,FALSE)))))</f>
        <v>1543</v>
      </c>
      <c r="Q28" s="222">
        <f t="shared" si="2"/>
        <v>0.01</v>
      </c>
      <c r="R28" s="223">
        <f t="shared" si="3"/>
        <v>1</v>
      </c>
      <c r="S28" s="223">
        <f t="shared" si="4"/>
        <v>10</v>
      </c>
      <c r="T28" s="223">
        <f t="shared" si="5"/>
        <v>10</v>
      </c>
      <c r="U28" s="225">
        <f t="shared" si="6"/>
        <v>1</v>
      </c>
      <c r="V28" s="287">
        <f t="shared" si="7"/>
      </c>
      <c r="W28" s="289" t="s">
        <v>1130</v>
      </c>
      <c r="Y28" s="324" t="str">
        <f>IF(A28="new.cod","NEWCOD",IF(AND((Z28=""),ISTEXT(A28)),A28,IF(Z28="","",INDEX('liste reference'!$A$8:$A$904,Z28))))</f>
        <v>AGRSTO</v>
      </c>
      <c r="Z28" s="183">
        <f>IF(ISERROR(MATCH(A28,'liste reference'!$A$8:$A$904,0)),IF(ISERROR(MATCH(A28,'liste reference'!$B$8:$B$904,0)),"",(MATCH(A28,'liste reference'!$B$8:$B$904,0))),(MATCH(A28,'liste reference'!$A$8:$A$904,0)))</f>
        <v>514</v>
      </c>
      <c r="AA28" s="385"/>
      <c r="AB28" s="372"/>
      <c r="AC28" s="372"/>
      <c r="BB28" s="183">
        <f t="shared" si="8"/>
        <v>1</v>
      </c>
    </row>
    <row r="29" spans="1:54" ht="12.75">
      <c r="A29" s="322" t="s">
        <v>2723</v>
      </c>
      <c r="B29" s="241">
        <v>0.02</v>
      </c>
      <c r="C29" s="242"/>
      <c r="D29" s="221">
        <f>IF(ISERROR(VLOOKUP($A29,'liste reference'!$A$7:$D$904,2,0)),IF(ISERROR(VLOOKUP($A29,'liste reference'!$B$7:$D$904,1,0)),"",VLOOKUP($A29,'liste reference'!$B$7:$D$904,1,0)),VLOOKUP($A29,'liste reference'!$A$7:$D$904,2,0))</f>
      </c>
      <c r="E29" s="224">
        <f>IF(D29="",,VLOOKUP(D29,D$22:D28,1,0))</f>
        <v>0</v>
      </c>
      <c r="F29" s="38">
        <f t="shared" si="1"/>
        <v>0.02</v>
      </c>
      <c r="G29" s="507" t="str">
        <f>IF(A29="","",IF(ISERROR(VLOOKUP($A29,'liste reference'!$A$7:$P$904,13,0)),IF(ISERROR(VLOOKUP($A29,'liste reference'!$B$7:$P$904,12,0)),"    -",VLOOKUP($A29,'liste reference'!$B$7:$P$904,12,0)),VLOOKUP($A29,'liste reference'!$A$7:$P$904,13,0)))</f>
        <v>    -</v>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Carex flacca</v>
      </c>
      <c r="L29" s="333"/>
      <c r="M29" s="333"/>
      <c r="N29" s="333"/>
      <c r="O29" s="367"/>
      <c r="P29" s="367" t="str">
        <f>IF($A29="NEWCOD",IF($AC29="","No",$AC29),IF(ISTEXT($E29),"DEJA SAISI !",IF($A29="","",IF(ISERROR(VLOOKUP($A29,'liste reference'!A:S,19,FALSE)),IF(ISERROR(VLOOKUP($A29,'liste reference'!B:S,19,FALSE)),"",VLOOKUP($A29,'liste reference'!B:S,19,FALSE)),VLOOKUP($A29,'liste reference'!A:S,19,FALSE)))))</f>
        <v>No</v>
      </c>
      <c r="Q29" s="222">
        <f t="shared" si="2"/>
      </c>
      <c r="R29" s="223">
        <f t="shared" si="3"/>
      </c>
      <c r="S29" s="223">
        <f t="shared" si="4"/>
        <v>0</v>
      </c>
      <c r="T29" s="223">
        <f t="shared" si="5"/>
        <v>0</v>
      </c>
      <c r="U29" s="225">
        <f t="shared" si="6"/>
        <v>0</v>
      </c>
      <c r="V29" s="287">
        <f t="shared" si="7"/>
      </c>
      <c r="W29" s="289" t="s">
        <v>1130</v>
      </c>
      <c r="X29" s="289"/>
      <c r="Y29" s="324" t="str">
        <f>IF(A29="new.cod","NEWCOD",IF(AND((Z29=""),ISTEXT(A29)),A29,IF(Z29="","",INDEX('liste reference'!$A$8:$A$904,Z29))))</f>
        <v>NEWCOD</v>
      </c>
      <c r="Z29" s="183">
        <f>IF(ISERROR(MATCH(A29,'liste reference'!$A$8:$A$904,0)),IF(ISERROR(MATCH(A29,'liste reference'!$B$8:$B$904,0)),"",(MATCH(A29,'liste reference'!$B$8:$B$904,0))),(MATCH(A29,'liste reference'!$A$8:$A$904,0)))</f>
      </c>
      <c r="AA29" s="385" t="s">
        <v>1147</v>
      </c>
      <c r="AB29" s="372" t="s">
        <v>2724</v>
      </c>
      <c r="AC29" s="372"/>
      <c r="BB29" s="183">
        <f t="shared" si="8"/>
        <v>1</v>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6">IF(OR(ISTEXT(H55),Q55=0),"",IF(Q55&lt;0.1,1,IF(Q55&lt;1,2,IF(Q55&lt;10,3,IF(Q55&lt;50,4,IF(Q55&gt;=50,5,""))))))</f>
      </c>
      <c r="S55" s="223">
        <f aca="true" t="shared" si="12" ref="S55:S86">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Var</v>
      </c>
      <c r="B84" s="231" t="str">
        <f>C3</f>
        <v>Touet</v>
      </c>
      <c r="C84" s="232">
        <f>A4</f>
        <v>41852</v>
      </c>
      <c r="D84" s="233">
        <f>IF(ISERROR(SUM($T$23:$T$82)/SUM($U$23:$U$82)),"",SUM($T$23:$T$82)/SUM($U$23:$U$82))</f>
        <v>8</v>
      </c>
      <c r="E84" s="234">
        <f>N13</f>
        <v>7</v>
      </c>
      <c r="F84" s="231">
        <f>N14</f>
        <v>6</v>
      </c>
      <c r="G84" s="231">
        <f>N15</f>
        <v>3</v>
      </c>
      <c r="H84" s="231">
        <f>N16</f>
        <v>3</v>
      </c>
      <c r="I84" s="231">
        <f>N17</f>
        <v>0</v>
      </c>
      <c r="J84" s="235">
        <f>N8</f>
        <v>8.166666666666666</v>
      </c>
      <c r="K84" s="233">
        <f>N9</f>
        <v>3.0776975521032313</v>
      </c>
      <c r="L84" s="234">
        <f>N10</f>
        <v>4</v>
      </c>
      <c r="M84" s="234">
        <f>N11</f>
        <v>13</v>
      </c>
      <c r="N84" s="233">
        <f>O8</f>
        <v>1.5</v>
      </c>
      <c r="O84" s="233">
        <f>O9</f>
        <v>0.5</v>
      </c>
      <c r="P84" s="234">
        <f>O10</f>
        <v>1</v>
      </c>
      <c r="Q84" s="234">
        <f>O11</f>
        <v>2</v>
      </c>
      <c r="R84" s="234">
        <f>F21</f>
        <v>0.39</v>
      </c>
      <c r="S84" s="234">
        <f>K11</f>
        <v>0</v>
      </c>
      <c r="T84" s="234">
        <f>K12</f>
        <v>5</v>
      </c>
      <c r="U84" s="234">
        <f>K13</f>
        <v>0</v>
      </c>
      <c r="V84" s="236">
        <f>K14</f>
        <v>0</v>
      </c>
      <c r="W84" s="237">
        <f>K15</f>
        <v>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13</v>
      </c>
      <c r="T87" s="183"/>
      <c r="U87" s="183"/>
      <c r="V87" s="183"/>
    </row>
    <row r="88" spans="16:22" ht="12.75" hidden="1">
      <c r="P88" s="183"/>
      <c r="Q88" s="183" t="s">
        <v>1138</v>
      </c>
      <c r="R88" s="183"/>
      <c r="S88" s="287">
        <f>VLOOKUP((S87),($S$23:$U$82),2,0)</f>
        <v>26</v>
      </c>
      <c r="T88" s="183"/>
      <c r="U88" s="183"/>
      <c r="V88" s="183"/>
    </row>
    <row r="89" spans="17:20" ht="12.75" hidden="1">
      <c r="Q89" s="183" t="s">
        <v>1139</v>
      </c>
      <c r="R89" s="183"/>
      <c r="S89" s="287">
        <f>VLOOKUP((S87),($S$23:$U$82),3,0)</f>
        <v>2</v>
      </c>
      <c r="T89" s="183"/>
    </row>
    <row r="90" spans="17:20" ht="12.75">
      <c r="Q90" s="183" t="s">
        <v>1140</v>
      </c>
      <c r="R90" s="183"/>
      <c r="S90" s="291">
        <f>IF(ISERROR(SUM($T$23:$T$82)/SUM($U$23:$U$82)),"",(SUM($T$23:$T$82)-S88)/(SUM($U$23:$U$82)-S89))</f>
        <v>6.888888888888889</v>
      </c>
      <c r="T90" s="183"/>
    </row>
    <row r="91" spans="17:21" ht="12.75">
      <c r="Q91" s="223" t="s">
        <v>1613</v>
      </c>
      <c r="R91" s="223"/>
      <c r="S91" s="223" t="str">
        <f>INDEX('liste reference'!$A$8:$A$904,$T$91)</f>
        <v>PHOSPX</v>
      </c>
      <c r="T91" s="183">
        <f>IF(ISERROR(MATCH($S$93,'liste reference'!$A$8:$A$904,0)),MATCH($S$93,'liste reference'!$B$8:$B$904,0),(MATCH($S$93,'liste reference'!$A$8:$A$904,0)))</f>
        <v>57</v>
      </c>
      <c r="U91" s="229"/>
    </row>
    <row r="92" spans="17:20" ht="12.75">
      <c r="Q92" s="183" t="s">
        <v>1371</v>
      </c>
      <c r="R92" s="183"/>
      <c r="S92" s="183">
        <f>MATCH(S87,$S$23:$S$82,0)</f>
        <v>4</v>
      </c>
      <c r="T92" s="183"/>
    </row>
    <row r="93" spans="17:20" ht="12.75">
      <c r="Q93" s="223" t="s">
        <v>1370</v>
      </c>
      <c r="R93" s="183"/>
      <c r="S93" s="223" t="str">
        <f>INDEX($A$23:$A$82,$S$92)</f>
        <v>PHOSPX</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2015-02-20T16:29:24Z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