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<sst xmlns="http://schemas.openxmlformats.org/spreadsheetml/2006/main" count="219" uniqueCount="113">
  <si>
    <t>Relevés floristiques aquatiques - IBMR</t>
  </si>
  <si>
    <t xml:space="preserve">Formulaire modèle GIS Macrophytes v 3.1.1 - janvier 2013  </t>
  </si>
  <si>
    <t>SAGE</t>
  </si>
  <si>
    <t>L.ISEBE L.BOURGOIN</t>
  </si>
  <si>
    <t>conforme AFNOR T90-395 oct. 2003</t>
  </si>
  <si>
    <t>Saône</t>
  </si>
  <si>
    <t>Saône à St Symphorien</t>
  </si>
  <si>
    <t>06810010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</si>
  <si>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</si>
  <si>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</si>
  <si>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</si>
  <si>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</si>
  <si>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</si>
  <si>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</si>
  <si>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</si>
  <si>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</si>
  <si>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MYRVER</t>
  </si>
  <si>
    <t>Faciès dominant</t>
  </si>
  <si>
    <t>ch.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</si>
  <si>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</si>
  <si>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</si>
  <si>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</si>
  <si>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</si>
  <si>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</si>
  <si>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</si>
  <si>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</si>
  <si>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</si>
  <si>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</si>
  <si>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</si>
  <si>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</si>
  <si>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</si>
  <si>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</si>
  <si>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</si>
  <si>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</si>
  <si>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</si>
  <si>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</si>
  <si>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</si>
  <si>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</si>
  <si>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</si>
  <si>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</si>
  <si>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</si>
  <si>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</si>
  <si>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</si>
  <si>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</si>
  <si>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</si>
  <si>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</si>
  <si>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</si>
  <si>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</si>
  <si>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</si>
  <si>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</si>
  <si>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</si>
  <si>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</si>
  <si>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</si>
  <si>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</si>
  <si>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</si>
  <si>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</si>
  <si>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</si>
  <si>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</si>
  <si>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</si>
  <si>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</si>
  <si>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</si>
  <si>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</si>
  <si>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</si>
  <si>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</si>
  <si>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</si>
  <si>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</si>
  <si>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</si>
  <si>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</si>
  <si>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</si>
  <si>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</si>
  <si>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</si>
  <si>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</si>
  <si>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</si>
  <si>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</si>
  <si>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</si>
  <si>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</si>
  <si>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</si>
  <si>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</si>
  <si>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</si>
  <si>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LYNSPX</t>
  </si>
  <si>
    <t>MICSPX</t>
  </si>
  <si>
    <t>PHOSPX</t>
  </si>
  <si>
    <t>RHISPX</t>
  </si>
  <si>
    <t>SPISPX</t>
  </si>
  <si>
    <t>VAUSPX</t>
  </si>
  <si>
    <t>CINFON</t>
  </si>
  <si>
    <t>CERDEM</t>
  </si>
  <si>
    <t>MYRSPI</t>
  </si>
  <si>
    <t>NAJMAR</t>
  </si>
  <si>
    <t>NAJMIN</t>
  </si>
  <si>
    <t>NUPLUT</t>
  </si>
  <si>
    <t>POTLUC</t>
  </si>
  <si>
    <t>POTNOD</t>
  </si>
  <si>
    <t>POTPEC</t>
  </si>
  <si>
    <t>POTPER</t>
  </si>
  <si>
    <t>VALSPI</t>
  </si>
  <si>
    <t>CARSPX</t>
  </si>
  <si>
    <t>IRIPSE</t>
  </si>
  <si>
    <t>LYSVUL</t>
  </si>
  <si>
    <t>LYTSAL</t>
  </si>
  <si>
    <t>PHAARU</t>
  </si>
  <si>
    <t>newcod</t>
  </si>
  <si>
    <t>Salix alba</t>
  </si>
  <si>
    <t>Salix cinerea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</si>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</sst>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4" borderId="32" xfId="0" applyNumberFormat="1" applyFont="1" applyFill="1" applyBorder="1" applyAlignment="1" applyProtection="1">
      <alignment horizontal="right" vertical="top"/>
      <protection hidden="1"/>
    </xf>
    <xf numFmtId="2" fontId="29" fillId="34" borderId="33" xfId="0" applyNumberFormat="1" applyFont="1" applyFill="1" applyBorder="1" applyAlignment="1" applyProtection="1">
      <alignment horizontal="left" vertical="top"/>
      <protection hidden="1"/>
    </xf>
    <xf numFmtId="2" fontId="30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4" borderId="37" xfId="0" applyFont="1" applyFill="1" applyBorder="1" applyAlignment="1" applyProtection="1">
      <alignment horizontal="left"/>
      <protection hidden="1"/>
    </xf>
    <xf numFmtId="0" fontId="22" fillId="34" borderId="38" xfId="0" applyFont="1" applyFill="1" applyBorder="1" applyAlignment="1" applyProtection="1">
      <alignment horizontal="right" vertical="top"/>
      <protection hidden="1"/>
    </xf>
    <xf numFmtId="0" fontId="32" fillId="34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2" fontId="0" fillId="37" borderId="77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SASYM_04-09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3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41521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7.911764705882353</v>
      </c>
      <c r="M5" s="52"/>
      <c r="N5" s="53" t="s">
        <v>16</v>
      </c>
      <c r="O5" s="54">
        <v>7.288135593220339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/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62" t="s">
        <v>21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22</v>
      </c>
      <c r="B7" s="65"/>
      <c r="C7" s="66">
        <v>100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23</v>
      </c>
      <c r="O7" s="76" t="s">
        <v>24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25</v>
      </c>
      <c r="B8" s="79"/>
      <c r="C8" s="79"/>
      <c r="D8" s="67"/>
      <c r="E8" s="67"/>
      <c r="F8" s="80" t="s">
        <v>26</v>
      </c>
      <c r="G8" s="81"/>
      <c r="H8" s="82"/>
      <c r="I8" s="70"/>
      <c r="J8" s="71"/>
      <c r="K8" s="72"/>
      <c r="L8" s="73"/>
      <c r="M8" s="83" t="s">
        <v>27</v>
      </c>
      <c r="N8" s="84">
        <f>IF(ISERROR(AVERAGE(I23:I82)),"     -",AVERAGE(I23:I82))</f>
        <v>7.904761904761905</v>
      </c>
      <c r="O8" s="84">
        <f>IF(ISERROR(AVERAGE(J23:J82)),"      -",AVERAGE(J23:J82))</f>
        <v>1.9523809523809523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6"/>
      <c r="C9" s="87">
        <v>42.12</v>
      </c>
      <c r="D9" s="88"/>
      <c r="E9" s="88"/>
      <c r="F9" s="89">
        <f aca="true" t="shared" si="0" ref="F9:F15">($B9*$B$7+$C9*$C$7)/100</f>
        <v>42.12</v>
      </c>
      <c r="G9" s="90"/>
      <c r="H9" s="91"/>
      <c r="I9" s="92"/>
      <c r="J9" s="93"/>
      <c r="K9" s="72"/>
      <c r="L9" s="94"/>
      <c r="M9" s="83" t="s">
        <v>29</v>
      </c>
      <c r="N9" s="84">
        <f>IF(ISERROR(STDEVP(I23:I82)),"     -",STDEVP(I23:I82))</f>
        <v>3.0999963426209134</v>
      </c>
      <c r="O9" s="84">
        <f>IF(ISERROR(STDEVP(J23:J82)),"      -",STDEVP(J23:J82))</f>
        <v>0.7221786137191952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30</v>
      </c>
      <c r="B10" s="98"/>
      <c r="C10" s="99" t="s">
        <v>31</v>
      </c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2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 t="shared" si="0"/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13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/>
      <c r="C12" s="120">
        <v>0.13</v>
      </c>
      <c r="D12" s="111"/>
      <c r="E12" s="111"/>
      <c r="F12" s="112">
        <f t="shared" si="0"/>
        <v>0.13</v>
      </c>
      <c r="G12" s="121"/>
      <c r="H12" s="67"/>
      <c r="I12" s="122" t="s">
        <v>38</v>
      </c>
      <c r="J12" s="123"/>
      <c r="K12" s="116">
        <f>COUNTIF($G$23:$G$82,"=ALG")</f>
        <v>7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/>
      <c r="C13" s="120">
        <v>0.01</v>
      </c>
      <c r="D13" s="111"/>
      <c r="E13" s="111"/>
      <c r="F13" s="112">
        <f t="shared" si="0"/>
        <v>0.01</v>
      </c>
      <c r="G13" s="121"/>
      <c r="H13" s="67"/>
      <c r="I13" s="129" t="s">
        <v>40</v>
      </c>
      <c r="J13" s="123"/>
      <c r="K13" s="116">
        <f>COUNTIF($G$23:$G$82,"=BRm")+COUNTIF($G$23:$G$82,"=BRh")</f>
        <v>1</v>
      </c>
      <c r="L13" s="117"/>
      <c r="M13" s="130" t="s">
        <v>41</v>
      </c>
      <c r="N13" s="131">
        <f>COUNTIF(F23:F82,"&gt;0")</f>
        <v>26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 t="shared" si="0"/>
        <v>0</v>
      </c>
      <c r="G14" s="121"/>
      <c r="H14" s="67"/>
      <c r="I14" s="129" t="s">
        <v>43</v>
      </c>
      <c r="J14" s="123"/>
      <c r="K14" s="116">
        <f>COUNTIF($G$23:$G$82,"=PTE")+COUNTIF($G$23:$G$82,"=LIC")</f>
        <v>0</v>
      </c>
      <c r="L14" s="117"/>
      <c r="M14" s="134" t="s">
        <v>44</v>
      </c>
      <c r="N14" s="135">
        <f>COUNTIF($I$23:$I$82,"&gt;-1")</f>
        <v>21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/>
      <c r="C15" s="139">
        <v>41.98</v>
      </c>
      <c r="D15" s="111"/>
      <c r="E15" s="111"/>
      <c r="F15" s="112">
        <f t="shared" si="0"/>
        <v>41.98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16</v>
      </c>
      <c r="L15" s="117"/>
      <c r="M15" s="140" t="s">
        <v>47</v>
      </c>
      <c r="N15" s="141">
        <f>COUNTIF(J23:J82,"=1")</f>
        <v>6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>
        <v>30.39</v>
      </c>
      <c r="D16" s="143"/>
      <c r="E16" s="143"/>
      <c r="F16" s="144"/>
      <c r="G16" s="144">
        <f>($B16*$B$7+$C16*$C$7)/100</f>
        <v>30.39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10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/>
      <c r="C17" s="120">
        <v>11.71</v>
      </c>
      <c r="D17" s="111"/>
      <c r="E17" s="111"/>
      <c r="F17" s="147"/>
      <c r="G17" s="112">
        <f>($B17*$B$7+$C17*$C$7)/100</f>
        <v>11.71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5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/>
      <c r="C18" s="151">
        <v>0.02</v>
      </c>
      <c r="D18" s="111"/>
      <c r="E18" s="152" t="s">
        <v>53</v>
      </c>
      <c r="F18" s="147"/>
      <c r="G18" s="112">
        <f>($B18*$B$7+$C18*$C$7)/100</f>
        <v>0.02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42.12</v>
      </c>
      <c r="G19" s="161">
        <f>SUM(G16:G18)</f>
        <v>42.120000000000005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0</v>
      </c>
      <c r="C20" s="171">
        <f>SUM(C23:C82)</f>
        <v>42.11882235294121</v>
      </c>
      <c r="D20" s="172"/>
      <c r="E20" s="173" t="s">
        <v>53</v>
      </c>
      <c r="F20" s="174">
        <f>($B20*$B$7+$C20*$C$7)/100</f>
        <v>42.11882235294121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0</v>
      </c>
      <c r="C21" s="184">
        <f>C20*C7/100</f>
        <v>42.11882235294121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42.11882235294121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</v>
      </c>
      <c r="C23" s="212">
        <v>0.0552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1" ref="F23:F82">($B23*$B$7+$C23*$C$7)/100</f>
        <v>0.0552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2" ref="Q23:Q82">IF(ISTEXT(H23),"",(B23*$B$7/100)+(C23*$C$7/100))</f>
        <v>0.0552</v>
      </c>
      <c r="R23" s="222">
        <f aca="true" t="shared" si="3" ref="R23:R82">IF(OR(ISTEXT(H23),Q23=0),"",IF(Q23&lt;0.1,1,IF(Q23&lt;1,2,IF(Q23&lt;10,3,IF(Q23&lt;50,4,IF(Q23&gt;=50,5,""))))))</f>
        <v>1</v>
      </c>
      <c r="S23" s="222">
        <f aca="true" t="shared" si="4" ref="S23:S82">IF(ISERROR(R23*I23),0,R23*I23)</f>
        <v>6</v>
      </c>
      <c r="T23" s="222">
        <f aca="true" t="shared" si="5" ref="T23:T82">IF(ISERROR(R23*I23*J23),0,R23*I23*J23)</f>
        <v>6</v>
      </c>
      <c r="U23" s="222">
        <f aca="true" t="shared" si="6" ref="U23:U82">IF(ISERROR(R23*J23),0,R23*J23)</f>
        <v>1</v>
      </c>
      <c r="V23" s="223">
        <f aca="true" t="shared" si="7" ref="V23:V82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8" ref="BB23:BB82">IF(A23="","",1)</f>
        <v>1</v>
      </c>
    </row>
    <row r="24" spans="1:54" ht="12.75">
      <c r="A24" s="228" t="s">
        <v>79</v>
      </c>
      <c r="B24" s="211">
        <v>0</v>
      </c>
      <c r="C24" s="229">
        <v>0.0046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Lyngbya sp.</v>
      </c>
      <c r="E24" s="230" t="e">
        <f>IF(D24="",,VLOOKUP(D24,D$22:D23,1,0))</f>
        <v>#N/A</v>
      </c>
      <c r="F24" s="231">
        <f t="shared" si="1"/>
        <v>0.0046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10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Lyngbya sp.</v>
      </c>
      <c r="L24" s="232"/>
      <c r="M24" s="232"/>
      <c r="N24" s="232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1107</v>
      </c>
      <c r="Q24" s="221">
        <f t="shared" si="2"/>
        <v>0.0046</v>
      </c>
      <c r="R24" s="222">
        <f t="shared" si="3"/>
        <v>1</v>
      </c>
      <c r="S24" s="222">
        <f t="shared" si="4"/>
        <v>10</v>
      </c>
      <c r="T24" s="222">
        <f t="shared" si="5"/>
        <v>20</v>
      </c>
      <c r="U24" s="233">
        <f t="shared" si="6"/>
        <v>2</v>
      </c>
      <c r="V24" s="223">
        <f t="shared" si="7"/>
      </c>
      <c r="W24" s="224" t="s">
        <v>54</v>
      </c>
      <c r="Y24" s="225" t="str">
        <f>IF(A24="new.cod","NEWCOD",IF(AND((Z24=""),ISTEXT(A24)),A24,IF(Z24="","",INDEX('[1]liste reference'!$A$8:$A$904,Z24))))</f>
        <v>LYNSPX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35</v>
      </c>
      <c r="AA24" s="226"/>
      <c r="AB24" s="227"/>
      <c r="AC24" s="227"/>
      <c r="BB24" s="8">
        <f t="shared" si="8"/>
        <v>1</v>
      </c>
    </row>
    <row r="25" spans="1:54" ht="12.75">
      <c r="A25" s="228" t="s">
        <v>80</v>
      </c>
      <c r="B25" s="211">
        <v>0</v>
      </c>
      <c r="C25" s="229">
        <v>0.0092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Microspora sp.</v>
      </c>
      <c r="E25" s="230" t="e">
        <f>IF(D25="",,VLOOKUP(D25,D$22:D24,1,0))</f>
        <v>#N/A</v>
      </c>
      <c r="F25" s="231">
        <f t="shared" si="1"/>
        <v>0.0092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12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Microspora sp.</v>
      </c>
      <c r="L25" s="232"/>
      <c r="M25" s="232"/>
      <c r="N25" s="232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1132</v>
      </c>
      <c r="Q25" s="221">
        <f t="shared" si="2"/>
        <v>0.0092</v>
      </c>
      <c r="R25" s="222">
        <f t="shared" si="3"/>
        <v>1</v>
      </c>
      <c r="S25" s="222">
        <f t="shared" si="4"/>
        <v>12</v>
      </c>
      <c r="T25" s="222">
        <f t="shared" si="5"/>
        <v>24</v>
      </c>
      <c r="U25" s="233">
        <f t="shared" si="6"/>
        <v>2</v>
      </c>
      <c r="V25" s="223">
        <f t="shared" si="7"/>
      </c>
      <c r="W25" s="224" t="s">
        <v>54</v>
      </c>
      <c r="Y25" s="225" t="str">
        <f>IF(A25="new.cod","NEWCOD",IF(AND((Z25=""),ISTEXT(A25)),A25,IF(Z25="","",INDEX('[1]liste reference'!$A$8:$A$904,Z25))))</f>
        <v>MICSPX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41</v>
      </c>
      <c r="AA25" s="226"/>
      <c r="AB25" s="227"/>
      <c r="AC25" s="227"/>
      <c r="BB25" s="8">
        <f t="shared" si="8"/>
        <v>1</v>
      </c>
    </row>
    <row r="26" spans="1:54" ht="12.75">
      <c r="A26" s="228" t="s">
        <v>81</v>
      </c>
      <c r="B26" s="211">
        <v>0</v>
      </c>
      <c r="C26" s="229">
        <v>0.00874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Phormidium sp.</v>
      </c>
      <c r="E26" s="230" t="e">
        <f>IF(D26="",,VLOOKUP(D26,D$22:D25,1,0))</f>
        <v>#N/A</v>
      </c>
      <c r="F26" s="231">
        <f t="shared" si="1"/>
        <v>0.00874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Phormidium sp.</v>
      </c>
      <c r="L26" s="232"/>
      <c r="M26" s="232"/>
      <c r="N26" s="232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21">
        <f t="shared" si="2"/>
        <v>0.00874</v>
      </c>
      <c r="R26" s="222">
        <f t="shared" si="3"/>
        <v>1</v>
      </c>
      <c r="S26" s="222">
        <f t="shared" si="4"/>
        <v>13</v>
      </c>
      <c r="T26" s="222">
        <f t="shared" si="5"/>
        <v>26</v>
      </c>
      <c r="U26" s="233">
        <f t="shared" si="6"/>
        <v>2</v>
      </c>
      <c r="V26" s="223">
        <f t="shared" si="7"/>
      </c>
      <c r="W26" s="224" t="s">
        <v>54</v>
      </c>
      <c r="Y26" s="225" t="str">
        <f>IF(A26="new.cod","NEWCOD",IF(AND((Z26=""),ISTEXT(A26)),A26,IF(Z26="","",INDEX('[1]liste reference'!$A$8:$A$904,Z26))))</f>
        <v>PHOSPX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57</v>
      </c>
      <c r="AA26" s="226"/>
      <c r="AB26" s="227"/>
      <c r="AC26" s="227"/>
      <c r="BB26" s="8">
        <f t="shared" si="8"/>
        <v>1</v>
      </c>
    </row>
    <row r="27" spans="1:54" ht="12.75">
      <c r="A27" s="228" t="s">
        <v>82</v>
      </c>
      <c r="B27" s="211">
        <v>0</v>
      </c>
      <c r="C27" s="229">
        <v>0.03970588235294118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Rhizoclonium sp.</v>
      </c>
      <c r="E27" s="230" t="e">
        <f>IF(D27="",,VLOOKUP(D27,D$22:D26,1,0))</f>
        <v>#N/A</v>
      </c>
      <c r="F27" s="231">
        <f t="shared" si="1"/>
        <v>0.03970588235294118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4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Rhizoclonium sp.</v>
      </c>
      <c r="L27" s="232"/>
      <c r="M27" s="232"/>
      <c r="N27" s="232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1125</v>
      </c>
      <c r="Q27" s="221">
        <f t="shared" si="2"/>
        <v>0.03970588235294118</v>
      </c>
      <c r="R27" s="222">
        <f t="shared" si="3"/>
        <v>1</v>
      </c>
      <c r="S27" s="222">
        <f t="shared" si="4"/>
        <v>4</v>
      </c>
      <c r="T27" s="222">
        <f t="shared" si="5"/>
        <v>8</v>
      </c>
      <c r="U27" s="233">
        <f t="shared" si="6"/>
        <v>2</v>
      </c>
      <c r="V27" s="223">
        <f t="shared" si="7"/>
      </c>
      <c r="W27" s="234" t="s">
        <v>54</v>
      </c>
      <c r="Y27" s="225" t="str">
        <f>IF(A27="new.cod","NEWCOD",IF(AND((Z27=""),ISTEXT(A27)),A27,IF(Z27="","",INDEX('[1]liste reference'!$A$8:$A$904,Z27))))</f>
        <v>RHISPX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62</v>
      </c>
      <c r="AA27" s="226"/>
      <c r="AB27" s="227"/>
      <c r="AC27" s="227"/>
      <c r="BB27" s="8">
        <f t="shared" si="8"/>
        <v>1</v>
      </c>
    </row>
    <row r="28" spans="1:54" ht="12.75">
      <c r="A28" s="228" t="s">
        <v>83</v>
      </c>
      <c r="B28" s="211">
        <v>0</v>
      </c>
      <c r="C28" s="229">
        <v>0.0046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Spirogyra sp.</v>
      </c>
      <c r="E28" s="230" t="e">
        <f>IF(D28="",,VLOOKUP(D28,D$22:D27,1,0))</f>
        <v>#N/A</v>
      </c>
      <c r="F28" s="231">
        <f t="shared" si="1"/>
        <v>0.0046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Spirogyra sp.</v>
      </c>
      <c r="L28" s="232"/>
      <c r="M28" s="232"/>
      <c r="N28" s="232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1147</v>
      </c>
      <c r="Q28" s="221">
        <f t="shared" si="2"/>
        <v>0.0046</v>
      </c>
      <c r="R28" s="222">
        <f t="shared" si="3"/>
        <v>1</v>
      </c>
      <c r="S28" s="222">
        <f t="shared" si="4"/>
        <v>10</v>
      </c>
      <c r="T28" s="222">
        <f t="shared" si="5"/>
        <v>10</v>
      </c>
      <c r="U28" s="233">
        <f t="shared" si="6"/>
        <v>1</v>
      </c>
      <c r="V28" s="223">
        <f t="shared" si="7"/>
      </c>
      <c r="W28" s="224" t="s">
        <v>54</v>
      </c>
      <c r="Y28" s="225" t="str">
        <f>IF(A28="new.cod","NEWCOD",IF(AND((Z28=""),ISTEXT(A28)),A28,IF(Z28="","",INDEX('[1]liste reference'!$A$8:$A$904,Z28))))</f>
        <v>SPISPX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69</v>
      </c>
      <c r="AA28" s="226"/>
      <c r="AB28" s="227"/>
      <c r="AC28" s="227"/>
      <c r="BB28" s="8">
        <f t="shared" si="8"/>
        <v>1</v>
      </c>
    </row>
    <row r="29" spans="1:54" ht="12.75">
      <c r="A29" s="228" t="s">
        <v>84</v>
      </c>
      <c r="B29" s="211">
        <v>0</v>
      </c>
      <c r="C29" s="229">
        <v>0.0046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Vaucheria sp.</v>
      </c>
      <c r="E29" s="230" t="e">
        <f>IF(D29="",,VLOOKUP(D29,D$22:D28,1,0))</f>
        <v>#N/A</v>
      </c>
      <c r="F29" s="231">
        <f t="shared" si="1"/>
        <v>0.0046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2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4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Vaucheria sp.</v>
      </c>
      <c r="L29" s="232"/>
      <c r="M29" s="232"/>
      <c r="N29" s="232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6193</v>
      </c>
      <c r="Q29" s="221">
        <f t="shared" si="2"/>
        <v>0.0046</v>
      </c>
      <c r="R29" s="222">
        <f t="shared" si="3"/>
        <v>1</v>
      </c>
      <c r="S29" s="222">
        <f t="shared" si="4"/>
        <v>4</v>
      </c>
      <c r="T29" s="222">
        <f t="shared" si="5"/>
        <v>4</v>
      </c>
      <c r="U29" s="233">
        <f t="shared" si="6"/>
        <v>1</v>
      </c>
      <c r="V29" s="223">
        <f t="shared" si="7"/>
      </c>
      <c r="W29" s="224" t="s">
        <v>54</v>
      </c>
      <c r="X29" s="224"/>
      <c r="Y29" s="225" t="str">
        <f>IF(A29="new.cod","NEWCOD",IF(AND((Z29=""),ISTEXT(A29)),A29,IF(Z29="","",INDEX('[1]liste reference'!$A$8:$A$904,Z29))))</f>
        <v>VAUSPX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82</v>
      </c>
      <c r="AA29" s="226"/>
      <c r="AB29" s="227"/>
      <c r="AC29" s="227"/>
      <c r="BB29" s="8">
        <f t="shared" si="8"/>
        <v>1</v>
      </c>
    </row>
    <row r="30" spans="1:54" ht="12.75">
      <c r="A30" s="228" t="s">
        <v>85</v>
      </c>
      <c r="B30" s="211">
        <v>0</v>
      </c>
      <c r="C30" s="229">
        <v>0.0046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Cinclidotus fontinaloides</v>
      </c>
      <c r="E30" s="230" t="e">
        <f>IF(D30="",,VLOOKUP(D30,D$22:D29,1,0))</f>
        <v>#N/A</v>
      </c>
      <c r="F30" s="231">
        <f t="shared" si="1"/>
        <v>0.0046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12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Cinclidotus fontinaloides</v>
      </c>
      <c r="L30" s="232"/>
      <c r="M30" s="232"/>
      <c r="N30" s="232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1320</v>
      </c>
      <c r="Q30" s="221">
        <f t="shared" si="2"/>
        <v>0.0046</v>
      </c>
      <c r="R30" s="222">
        <f t="shared" si="3"/>
        <v>1</v>
      </c>
      <c r="S30" s="222">
        <f t="shared" si="4"/>
        <v>12</v>
      </c>
      <c r="T30" s="222">
        <f t="shared" si="5"/>
        <v>24</v>
      </c>
      <c r="U30" s="233">
        <f t="shared" si="6"/>
        <v>2</v>
      </c>
      <c r="V30" s="223">
        <f t="shared" si="7"/>
      </c>
      <c r="W30" s="224" t="s">
        <v>54</v>
      </c>
      <c r="Y30" s="225" t="str">
        <f>IF(A30="new.cod","NEWCOD",IF(AND((Z30=""),ISTEXT(A30)),A30,IF(Z30="","",INDEX('[1]liste reference'!$A$8:$A$904,Z30))))</f>
        <v>CINFON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172</v>
      </c>
      <c r="AA30" s="226"/>
      <c r="AB30" s="227"/>
      <c r="AC30" s="227"/>
      <c r="BB30" s="8">
        <f t="shared" si="8"/>
        <v>1</v>
      </c>
    </row>
    <row r="31" spans="1:54" ht="12.75">
      <c r="A31" s="228" t="s">
        <v>86</v>
      </c>
      <c r="B31" s="211">
        <v>0</v>
      </c>
      <c r="C31" s="229">
        <v>0.4016588235294118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Ceratophyllum demersum</v>
      </c>
      <c r="E31" s="230" t="e">
        <f>IF(D31="",,VLOOKUP(D31,D$22:D30,1,0))</f>
        <v>#N/A</v>
      </c>
      <c r="F31" s="231">
        <f t="shared" si="1"/>
        <v>0.40165882352941185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PHy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7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5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Ceratophyllum demersum</v>
      </c>
      <c r="L31" s="232"/>
      <c r="M31" s="232"/>
      <c r="N31" s="232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1717</v>
      </c>
      <c r="Q31" s="221">
        <f t="shared" si="2"/>
        <v>0.40165882352941185</v>
      </c>
      <c r="R31" s="222">
        <f t="shared" si="3"/>
        <v>2</v>
      </c>
      <c r="S31" s="222">
        <f t="shared" si="4"/>
        <v>10</v>
      </c>
      <c r="T31" s="222">
        <f t="shared" si="5"/>
        <v>20</v>
      </c>
      <c r="U31" s="233">
        <f t="shared" si="6"/>
        <v>4</v>
      </c>
      <c r="V31" s="223">
        <f t="shared" si="7"/>
      </c>
      <c r="W31" s="224" t="s">
        <v>54</v>
      </c>
      <c r="Y31" s="225" t="str">
        <f>IF(A31="new.cod","NEWCOD",IF(AND((Z31=""),ISTEXT(A31)),A31,IF(Z31="","",INDEX('[1]liste reference'!$A$8:$A$904,Z31))))</f>
        <v>CERDEM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330</v>
      </c>
      <c r="AA31" s="226"/>
      <c r="AB31" s="227"/>
      <c r="AC31" s="227"/>
      <c r="BB31" s="8">
        <f t="shared" si="8"/>
        <v>1</v>
      </c>
    </row>
    <row r="32" spans="1:54" ht="12.75">
      <c r="A32" s="228" t="s">
        <v>87</v>
      </c>
      <c r="B32" s="211">
        <v>0</v>
      </c>
      <c r="C32" s="229">
        <v>3.824352941176471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Myriophyllum spicatum</v>
      </c>
      <c r="E32" s="230" t="e">
        <f>IF(D32="",,VLOOKUP(D32,D$22:D31,1,0))</f>
        <v>#N/A</v>
      </c>
      <c r="F32" s="231">
        <f t="shared" si="1"/>
        <v>3.824352941176471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PHy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7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8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2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Myriophyllum spicatum</v>
      </c>
      <c r="L32" s="232"/>
      <c r="M32" s="232"/>
      <c r="N32" s="232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1778</v>
      </c>
      <c r="Q32" s="221">
        <f t="shared" si="2"/>
        <v>3.824352941176471</v>
      </c>
      <c r="R32" s="222">
        <f t="shared" si="3"/>
        <v>3</v>
      </c>
      <c r="S32" s="222">
        <f t="shared" si="4"/>
        <v>24</v>
      </c>
      <c r="T32" s="222">
        <f t="shared" si="5"/>
        <v>48</v>
      </c>
      <c r="U32" s="233">
        <f t="shared" si="6"/>
        <v>6</v>
      </c>
      <c r="V32" s="223">
        <f t="shared" si="7"/>
      </c>
      <c r="W32" s="224" t="s">
        <v>54</v>
      </c>
      <c r="Y32" s="225" t="str">
        <f>IF(A32="new.cod","NEWCOD",IF(AND((Z32=""),ISTEXT(A32)),A32,IF(Z32="","",INDEX('[1]liste reference'!$A$8:$A$904,Z32))))</f>
        <v>MYRSPI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373</v>
      </c>
      <c r="AA32" s="226"/>
      <c r="AB32" s="227"/>
      <c r="AC32" s="227"/>
      <c r="BB32" s="8">
        <f t="shared" si="8"/>
        <v>1</v>
      </c>
    </row>
    <row r="33" spans="1:54" ht="12.75">
      <c r="A33" s="228" t="s">
        <v>16</v>
      </c>
      <c r="B33" s="211">
        <v>0</v>
      </c>
      <c r="C33" s="229">
        <v>3.120294117647059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Myriophyllum verticillatum</v>
      </c>
      <c r="E33" s="230" t="e">
        <f>IF(D33="",,VLOOKUP(D33,D$22:D32,1,0))</f>
        <v>#N/A</v>
      </c>
      <c r="F33" s="231">
        <f t="shared" si="1"/>
        <v>3.120294117647059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PHy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7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12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3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Myriophyllum verticillatum</v>
      </c>
      <c r="L33" s="232"/>
      <c r="M33" s="232"/>
      <c r="N33" s="232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1779</v>
      </c>
      <c r="Q33" s="221">
        <f t="shared" si="2"/>
        <v>3.120294117647059</v>
      </c>
      <c r="R33" s="222">
        <f t="shared" si="3"/>
        <v>3</v>
      </c>
      <c r="S33" s="222">
        <f t="shared" si="4"/>
        <v>36</v>
      </c>
      <c r="T33" s="222">
        <f t="shared" si="5"/>
        <v>108</v>
      </c>
      <c r="U33" s="233">
        <f t="shared" si="6"/>
        <v>9</v>
      </c>
      <c r="V33" s="223">
        <f t="shared" si="7"/>
      </c>
      <c r="W33" s="224" t="s">
        <v>54</v>
      </c>
      <c r="Y33" s="225" t="str">
        <f>IF(A33="new.cod","NEWCOD",IF(AND((Z33=""),ISTEXT(A33)),A33,IF(Z33="","",INDEX('[1]liste reference'!$A$8:$A$904,Z33))))</f>
        <v>MYRVER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375</v>
      </c>
      <c r="AA33" s="226"/>
      <c r="AB33" s="227"/>
      <c r="AC33" s="227"/>
      <c r="BB33" s="8">
        <f t="shared" si="8"/>
        <v>1</v>
      </c>
    </row>
    <row r="34" spans="1:54" ht="12.75">
      <c r="A34" s="228" t="s">
        <v>88</v>
      </c>
      <c r="B34" s="211">
        <v>0</v>
      </c>
      <c r="C34" s="229">
        <v>1.945588235294118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Najas marina</v>
      </c>
      <c r="E34" s="230" t="e">
        <f>IF(D34="",,VLOOKUP(D34,D$22:D33,1,0))</f>
        <v>#N/A</v>
      </c>
      <c r="F34" s="235">
        <f t="shared" si="1"/>
        <v>1.945588235294118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PHy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7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5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3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Najas marina</v>
      </c>
      <c r="L34" s="232"/>
      <c r="M34" s="232"/>
      <c r="N34" s="232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1835</v>
      </c>
      <c r="Q34" s="221">
        <f t="shared" si="2"/>
        <v>1.945588235294118</v>
      </c>
      <c r="R34" s="222">
        <f t="shared" si="3"/>
        <v>3</v>
      </c>
      <c r="S34" s="222">
        <f t="shared" si="4"/>
        <v>15</v>
      </c>
      <c r="T34" s="222">
        <f t="shared" si="5"/>
        <v>45</v>
      </c>
      <c r="U34" s="233">
        <f t="shared" si="6"/>
        <v>9</v>
      </c>
      <c r="V34" s="223">
        <f t="shared" si="7"/>
      </c>
      <c r="W34" s="224" t="s">
        <v>54</v>
      </c>
      <c r="Y34" s="225" t="str">
        <f>IF(A34="new.cod","NEWCOD",IF(AND((Z34=""),ISTEXT(A34)),A34,IF(Z34="","",INDEX('[1]liste reference'!$A$8:$A$904,Z34))))</f>
        <v>NAJMAR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379</v>
      </c>
      <c r="AA34" s="226"/>
      <c r="AB34" s="227"/>
      <c r="AC34" s="227"/>
      <c r="BB34" s="8">
        <f t="shared" si="8"/>
        <v>1</v>
      </c>
    </row>
    <row r="35" spans="1:54" ht="12.75">
      <c r="A35" s="228" t="s">
        <v>89</v>
      </c>
      <c r="B35" s="211">
        <v>0</v>
      </c>
      <c r="C35" s="229">
        <v>0.0046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Najas minor</v>
      </c>
      <c r="E35" s="230" t="e">
        <f>IF(D35="",,VLOOKUP(D35,D$22:D34,1,0))</f>
        <v>#N/A</v>
      </c>
      <c r="F35" s="235">
        <f t="shared" si="1"/>
        <v>0.0046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PHy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7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6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3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Najas minor</v>
      </c>
      <c r="L35" s="232"/>
      <c r="M35" s="232"/>
      <c r="N35" s="232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1836</v>
      </c>
      <c r="Q35" s="221">
        <f t="shared" si="2"/>
        <v>0.0046</v>
      </c>
      <c r="R35" s="222">
        <f t="shared" si="3"/>
        <v>1</v>
      </c>
      <c r="S35" s="222">
        <f t="shared" si="4"/>
        <v>6</v>
      </c>
      <c r="T35" s="222">
        <f t="shared" si="5"/>
        <v>18</v>
      </c>
      <c r="U35" s="233">
        <f t="shared" si="6"/>
        <v>3</v>
      </c>
      <c r="V35" s="223">
        <f t="shared" si="7"/>
      </c>
      <c r="W35" s="224" t="s">
        <v>54</v>
      </c>
      <c r="Y35" s="225" t="str">
        <f>IF(A35="new.cod","NEWCOD",IF(AND((Z35=""),ISTEXT(A35)),A35,IF(Z35="","",INDEX('[1]liste reference'!$A$8:$A$904,Z35))))</f>
        <v>NAJMIN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383</v>
      </c>
      <c r="AA35" s="226"/>
      <c r="AB35" s="227"/>
      <c r="AC35" s="227"/>
      <c r="BB35" s="8">
        <f t="shared" si="8"/>
        <v>1</v>
      </c>
    </row>
    <row r="36" spans="1:54" ht="12.75">
      <c r="A36" s="228" t="s">
        <v>90</v>
      </c>
      <c r="B36" s="211">
        <v>0</v>
      </c>
      <c r="C36" s="229">
        <v>30.38235294117647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Nuphar lutea</v>
      </c>
      <c r="E36" s="230" t="e">
        <f>IF(D36="",,VLOOKUP(D36,D$22:D35,1,0))</f>
        <v>#N/A</v>
      </c>
      <c r="F36" s="235">
        <f t="shared" si="1"/>
        <v>30.382352941176475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PHy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7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>9</v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>1</v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Nuphar lutea</v>
      </c>
      <c r="L36" s="232"/>
      <c r="M36" s="232"/>
      <c r="N36" s="232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1839</v>
      </c>
      <c r="Q36" s="221">
        <f t="shared" si="2"/>
        <v>30.382352941176475</v>
      </c>
      <c r="R36" s="222">
        <f t="shared" si="3"/>
        <v>4</v>
      </c>
      <c r="S36" s="222">
        <f t="shared" si="4"/>
        <v>36</v>
      </c>
      <c r="T36" s="222">
        <f t="shared" si="5"/>
        <v>36</v>
      </c>
      <c r="U36" s="233">
        <f t="shared" si="6"/>
        <v>4</v>
      </c>
      <c r="V36" s="223">
        <f t="shared" si="7"/>
      </c>
      <c r="W36" s="224" t="s">
        <v>54</v>
      </c>
      <c r="Y36" s="225" t="str">
        <f>IF(A36="new.cod","NEWCOD",IF(AND((Z36=""),ISTEXT(A36)),A36,IF(Z36="","",INDEX('[1]liste reference'!$A$8:$A$904,Z36))))</f>
        <v>NUPLUT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389</v>
      </c>
      <c r="AA36" s="226"/>
      <c r="AB36" s="227"/>
      <c r="AC36" s="227"/>
      <c r="BB36" s="8">
        <f t="shared" si="8"/>
        <v>1</v>
      </c>
    </row>
    <row r="37" spans="1:54" ht="12.75">
      <c r="A37" s="228" t="s">
        <v>91</v>
      </c>
      <c r="B37" s="211">
        <v>0</v>
      </c>
      <c r="C37" s="229">
        <v>0.03970588235294118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Potamogeton lucens</v>
      </c>
      <c r="E37" s="230" t="e">
        <f>IF(D37="",,VLOOKUP(D37,D$22:D36,1,0))</f>
        <v>#N/A</v>
      </c>
      <c r="F37" s="235">
        <f t="shared" si="1"/>
        <v>0.03970588235294118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PHy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7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7</v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3</v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Potamogeton lucens</v>
      </c>
      <c r="L37" s="232"/>
      <c r="M37" s="232"/>
      <c r="N37" s="232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1649</v>
      </c>
      <c r="Q37" s="221">
        <f t="shared" si="2"/>
        <v>0.03970588235294118</v>
      </c>
      <c r="R37" s="222">
        <f t="shared" si="3"/>
        <v>1</v>
      </c>
      <c r="S37" s="222">
        <f t="shared" si="4"/>
        <v>7</v>
      </c>
      <c r="T37" s="222">
        <f t="shared" si="5"/>
        <v>21</v>
      </c>
      <c r="U37" s="233">
        <f t="shared" si="6"/>
        <v>3</v>
      </c>
      <c r="V37" s="223">
        <f t="shared" si="7"/>
      </c>
      <c r="W37" s="224" t="s">
        <v>54</v>
      </c>
      <c r="Y37" s="225" t="str">
        <f>IF(A37="new.cod","NEWCOD",IF(AND((Z37=""),ISTEXT(A37)),A37,IF(Z37="","",INDEX('[1]liste reference'!$A$8:$A$904,Z37))))</f>
        <v>POTLUC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415</v>
      </c>
      <c r="AA37" s="226"/>
      <c r="AB37" s="227"/>
      <c r="AC37" s="227"/>
      <c r="BB37" s="8">
        <f t="shared" si="8"/>
        <v>1</v>
      </c>
    </row>
    <row r="38" spans="1:54" ht="12.75">
      <c r="A38" s="228" t="s">
        <v>92</v>
      </c>
      <c r="B38" s="211">
        <v>0</v>
      </c>
      <c r="C38" s="229">
        <v>0.0046</v>
      </c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>Potamogeton nodosus</v>
      </c>
      <c r="E38" s="230" t="e">
        <f>IF(D38="",,VLOOKUP(D38,D$22:D37,1,0))</f>
        <v>#N/A</v>
      </c>
      <c r="F38" s="235">
        <f t="shared" si="1"/>
        <v>0.0046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PHy</v>
      </c>
      <c r="H38" s="21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7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>4</v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>3</v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Potamogeton nodosus</v>
      </c>
      <c r="L38" s="232"/>
      <c r="M38" s="232"/>
      <c r="N38" s="232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1652</v>
      </c>
      <c r="Q38" s="221">
        <f t="shared" si="2"/>
        <v>0.0046</v>
      </c>
      <c r="R38" s="222">
        <f t="shared" si="3"/>
        <v>1</v>
      </c>
      <c r="S38" s="222">
        <f t="shared" si="4"/>
        <v>4</v>
      </c>
      <c r="T38" s="222">
        <f t="shared" si="5"/>
        <v>12</v>
      </c>
      <c r="U38" s="233">
        <f t="shared" si="6"/>
        <v>3</v>
      </c>
      <c r="V38" s="223">
        <f t="shared" si="7"/>
      </c>
      <c r="W38" s="224" t="s">
        <v>54</v>
      </c>
      <c r="Y38" s="225" t="str">
        <f>IF(A38="new.cod","NEWCOD",IF(AND((Z38=""),ISTEXT(A38)),A38,IF(Z38="","",INDEX('[1]liste reference'!$A$8:$A$904,Z38))))</f>
        <v>POTNOD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418</v>
      </c>
      <c r="AA38" s="226"/>
      <c r="AB38" s="227"/>
      <c r="AC38" s="227"/>
      <c r="BB38" s="8">
        <f t="shared" si="8"/>
        <v>1</v>
      </c>
    </row>
    <row r="39" spans="1:54" ht="12.75">
      <c r="A39" s="228" t="s">
        <v>93</v>
      </c>
      <c r="B39" s="211">
        <v>0</v>
      </c>
      <c r="C39" s="229">
        <v>0.0092</v>
      </c>
      <c r="D39" s="213" t="str">
        <f>IF(ISERROR(VLOOKUP($A39,'[1]liste reference'!$A$7:$D$904,2,0)),IF(ISERROR(VLOOKUP($A39,'[1]liste reference'!$B$7:$D$904,1,0)),"",VLOOKUP($A39,'[1]liste reference'!$B$7:$D$904,1,0)),VLOOKUP($A39,'[1]liste reference'!$A$7:$D$904,2,0))</f>
        <v>Potamogeton pectinatus</v>
      </c>
      <c r="E39" s="230" t="e">
        <f>IF(D39="",,VLOOKUP(D39,D$22:D38,1,0))</f>
        <v>#N/A</v>
      </c>
      <c r="F39" s="235">
        <f t="shared" si="1"/>
        <v>0.0092</v>
      </c>
      <c r="G39" s="21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PHy</v>
      </c>
      <c r="H39" s="216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7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  <v>2</v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  <v>2</v>
      </c>
      <c r="K39" s="21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Potamogeton pectinatus</v>
      </c>
      <c r="L39" s="232"/>
      <c r="M39" s="232"/>
      <c r="N39" s="232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1655</v>
      </c>
      <c r="Q39" s="221">
        <f t="shared" si="2"/>
        <v>0.0092</v>
      </c>
      <c r="R39" s="222">
        <f t="shared" si="3"/>
        <v>1</v>
      </c>
      <c r="S39" s="222">
        <f t="shared" si="4"/>
        <v>2</v>
      </c>
      <c r="T39" s="222">
        <f t="shared" si="5"/>
        <v>4</v>
      </c>
      <c r="U39" s="233">
        <f t="shared" si="6"/>
        <v>2</v>
      </c>
      <c r="V39" s="223">
        <f t="shared" si="7"/>
      </c>
      <c r="W39" s="224" t="s">
        <v>54</v>
      </c>
      <c r="Y39" s="225" t="str">
        <f>IF(A39="new.cod","NEWCOD",IF(AND((Z39=""),ISTEXT(A39)),A39,IF(Z39="","",INDEX('[1]liste reference'!$A$8:$A$904,Z39))))</f>
        <v>POTPEC</v>
      </c>
      <c r="Z39" s="8">
        <f>IF(ISERROR(MATCH(A39,'[1]liste reference'!$A$8:$A$904,0)),IF(ISERROR(MATCH(A39,'[1]liste reference'!$B$8:$B$904,0)),"",(MATCH(A39,'[1]liste reference'!$B$8:$B$904,0))),(MATCH(A39,'[1]liste reference'!$A$8:$A$904,0)))</f>
        <v>421</v>
      </c>
      <c r="AA39" s="226"/>
      <c r="AB39" s="227"/>
      <c r="AC39" s="227"/>
      <c r="BB39" s="8">
        <f t="shared" si="8"/>
        <v>1</v>
      </c>
    </row>
    <row r="40" spans="1:54" ht="12.75">
      <c r="A40" s="228" t="s">
        <v>94</v>
      </c>
      <c r="B40" s="211">
        <v>0</v>
      </c>
      <c r="C40" s="229">
        <v>0.2474352941176471</v>
      </c>
      <c r="D40" s="213" t="str">
        <f>IF(ISERROR(VLOOKUP($A40,'[1]liste reference'!$A$7:$D$904,2,0)),IF(ISERROR(VLOOKUP($A40,'[1]liste reference'!$B$7:$D$904,1,0)),"",VLOOKUP($A40,'[1]liste reference'!$B$7:$D$904,1,0)),VLOOKUP($A40,'[1]liste reference'!$A$7:$D$904,2,0))</f>
        <v>Potamogeton perfoliatus</v>
      </c>
      <c r="E40" s="230" t="e">
        <f>IF(D40="",,VLOOKUP(D40,D$22:D39,1,0))</f>
        <v>#N/A</v>
      </c>
      <c r="F40" s="235">
        <f t="shared" si="1"/>
        <v>0.2474352941176471</v>
      </c>
      <c r="G40" s="215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PHy</v>
      </c>
      <c r="H40" s="216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7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  <v>9</v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  <v>2</v>
      </c>
      <c r="K40" s="218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Potamogeton perfoliatus</v>
      </c>
      <c r="L40" s="232"/>
      <c r="M40" s="232"/>
      <c r="N40" s="232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1656</v>
      </c>
      <c r="Q40" s="221">
        <f t="shared" si="2"/>
        <v>0.2474352941176471</v>
      </c>
      <c r="R40" s="222">
        <f t="shared" si="3"/>
        <v>2</v>
      </c>
      <c r="S40" s="222">
        <f t="shared" si="4"/>
        <v>18</v>
      </c>
      <c r="T40" s="222">
        <f t="shared" si="5"/>
        <v>36</v>
      </c>
      <c r="U40" s="233">
        <f t="shared" si="6"/>
        <v>4</v>
      </c>
      <c r="V40" s="223">
        <f t="shared" si="7"/>
      </c>
      <c r="W40" s="224" t="s">
        <v>54</v>
      </c>
      <c r="Y40" s="225" t="str">
        <f>IF(A40="new.cod","NEWCOD",IF(AND((Z40=""),ISTEXT(A40)),A40,IF(Z40="","",INDEX('[1]liste reference'!$A$8:$A$904,Z40))))</f>
        <v>POTPER</v>
      </c>
      <c r="Z40" s="8">
        <f>IF(ISERROR(MATCH(A40,'[1]liste reference'!$A$8:$A$904,0)),IF(ISERROR(MATCH(A40,'[1]liste reference'!$B$8:$B$904,0)),"",(MATCH(A40,'[1]liste reference'!$B$8:$B$904,0))),(MATCH(A40,'[1]liste reference'!$A$8:$A$904,0)))</f>
        <v>422</v>
      </c>
      <c r="AA40" s="226"/>
      <c r="AB40" s="227"/>
      <c r="AC40" s="227"/>
      <c r="BB40" s="8">
        <f t="shared" si="8"/>
        <v>1</v>
      </c>
    </row>
    <row r="41" spans="1:54" ht="12.75">
      <c r="A41" s="228" t="s">
        <v>95</v>
      </c>
      <c r="B41" s="211">
        <v>0</v>
      </c>
      <c r="C41" s="229">
        <v>1.9755882352941179</v>
      </c>
      <c r="D41" s="213" t="str">
        <f>IF(ISERROR(VLOOKUP($A41,'[1]liste reference'!$A$7:$D$904,2,0)),IF(ISERROR(VLOOKUP($A41,'[1]liste reference'!$B$7:$D$904,1,0)),"",VLOOKUP($A41,'[1]liste reference'!$B$7:$D$904,1,0)),VLOOKUP($A41,'[1]liste reference'!$A$7:$D$904,2,0))</f>
        <v>Vallisneria spiralis</v>
      </c>
      <c r="E41" s="230" t="e">
        <f>IF(D41="",,VLOOKUP(D41,D$22:D40,1,0))</f>
        <v>#N/A</v>
      </c>
      <c r="F41" s="235">
        <f t="shared" si="1"/>
        <v>1.9755882352941179</v>
      </c>
      <c r="G41" s="215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>PHy</v>
      </c>
      <c r="H41" s="216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7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  <v>8</v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  <v>2</v>
      </c>
      <c r="K41" s="218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>Vallisneria spiralis</v>
      </c>
      <c r="L41" s="232"/>
      <c r="M41" s="232"/>
      <c r="N41" s="232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1598</v>
      </c>
      <c r="Q41" s="221">
        <f t="shared" si="2"/>
        <v>1.9755882352941179</v>
      </c>
      <c r="R41" s="222">
        <f t="shared" si="3"/>
        <v>3</v>
      </c>
      <c r="S41" s="222">
        <f t="shared" si="4"/>
        <v>24</v>
      </c>
      <c r="T41" s="222">
        <f t="shared" si="5"/>
        <v>48</v>
      </c>
      <c r="U41" s="233">
        <f t="shared" si="6"/>
        <v>6</v>
      </c>
      <c r="V41" s="223">
        <f t="shared" si="7"/>
      </c>
      <c r="W41" s="224" t="s">
        <v>54</v>
      </c>
      <c r="Y41" s="225" t="str">
        <f>IF(A41="new.cod","NEWCOD",IF(AND((Z41=""),ISTEXT(A41)),A41,IF(Z41="","",INDEX('[1]liste reference'!$A$8:$A$904,Z41))))</f>
        <v>VALSPI</v>
      </c>
      <c r="Z41" s="8">
        <f>IF(ISERROR(MATCH(A41,'[1]liste reference'!$A$8:$A$904,0)),IF(ISERROR(MATCH(A41,'[1]liste reference'!$B$8:$B$904,0)),"",(MATCH(A41,'[1]liste reference'!$B$8:$B$904,0))),(MATCH(A41,'[1]liste reference'!$A$8:$A$904,0)))</f>
        <v>498</v>
      </c>
      <c r="AA41" s="226"/>
      <c r="AB41" s="227"/>
      <c r="AC41" s="227"/>
      <c r="BB41" s="8">
        <f t="shared" si="8"/>
        <v>1</v>
      </c>
    </row>
    <row r="42" spans="1:54" ht="12.75">
      <c r="A42" s="228" t="s">
        <v>96</v>
      </c>
      <c r="B42" s="211">
        <v>0</v>
      </c>
      <c r="C42" s="229">
        <v>0.0046</v>
      </c>
      <c r="D42" s="213" t="str">
        <f>IF(ISERROR(VLOOKUP($A42,'[1]liste reference'!$A$7:$D$904,2,0)),IF(ISERROR(VLOOKUP($A42,'[1]liste reference'!$B$7:$D$904,1,0)),"",VLOOKUP($A42,'[1]liste reference'!$B$7:$D$904,1,0)),VLOOKUP($A42,'[1]liste reference'!$A$7:$D$904,2,0))</f>
        <v>Carex sp.</v>
      </c>
      <c r="E42" s="230" t="e">
        <f>IF(D42="",,VLOOKUP(D42,D$22:D41,1,0))</f>
        <v>#N/A</v>
      </c>
      <c r="F42" s="235">
        <f t="shared" si="1"/>
        <v>0.0046</v>
      </c>
      <c r="G42" s="215" t="str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  <v>PHe</v>
      </c>
      <c r="H42" s="216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8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 t="str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  <v>Carex sp.</v>
      </c>
      <c r="L42" s="232"/>
      <c r="M42" s="232"/>
      <c r="N42" s="232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  <v>1466</v>
      </c>
      <c r="Q42" s="221">
        <f t="shared" si="2"/>
        <v>0.0046</v>
      </c>
      <c r="R42" s="222">
        <f t="shared" si="3"/>
        <v>1</v>
      </c>
      <c r="S42" s="222">
        <f t="shared" si="4"/>
        <v>0</v>
      </c>
      <c r="T42" s="222">
        <f t="shared" si="5"/>
        <v>0</v>
      </c>
      <c r="U42" s="233">
        <f t="shared" si="6"/>
        <v>0</v>
      </c>
      <c r="V42" s="223">
        <f t="shared" si="7"/>
      </c>
      <c r="W42" s="224" t="s">
        <v>54</v>
      </c>
      <c r="Y42" s="225" t="str">
        <f>IF(A42="new.cod","NEWCOD",IF(AND((Z42=""),ISTEXT(A42)),A42,IF(Z42="","",INDEX('[1]liste reference'!$A$8:$A$904,Z42))))</f>
        <v>CARSPX</v>
      </c>
      <c r="Z42" s="8">
        <f>IF(ISERROR(MATCH(A42,'[1]liste reference'!$A$8:$A$904,0)),IF(ISERROR(MATCH(A42,'[1]liste reference'!$B$8:$B$904,0)),"",(MATCH(A42,'[1]liste reference'!$B$8:$B$904,0))),(MATCH(A42,'[1]liste reference'!$A$8:$A$904,0)))</f>
        <v>545</v>
      </c>
      <c r="AA42" s="226"/>
      <c r="AB42" s="227"/>
      <c r="AC42" s="227"/>
      <c r="BB42" s="8">
        <f t="shared" si="8"/>
        <v>1</v>
      </c>
    </row>
    <row r="43" spans="1:54" ht="12.75">
      <c r="A43" s="228" t="s">
        <v>97</v>
      </c>
      <c r="B43" s="211">
        <v>0</v>
      </c>
      <c r="C43" s="229">
        <v>0.0046</v>
      </c>
      <c r="D43" s="213" t="str">
        <f>IF(ISERROR(VLOOKUP($A43,'[1]liste reference'!$A$7:$D$904,2,0)),IF(ISERROR(VLOOKUP($A43,'[1]liste reference'!$B$7:$D$904,1,0)),"",VLOOKUP($A43,'[1]liste reference'!$B$7:$D$904,1,0)),VLOOKUP($A43,'[1]liste reference'!$A$7:$D$904,2,0))</f>
        <v>Iris pseudacorus</v>
      </c>
      <c r="E43" s="230" t="e">
        <f>IF(D43="",,VLOOKUP(D43,D$22:D42,1,0))</f>
        <v>#N/A</v>
      </c>
      <c r="F43" s="235">
        <f t="shared" si="1"/>
        <v>0.0046</v>
      </c>
      <c r="G43" s="215" t="str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  <v>PHe</v>
      </c>
      <c r="H43" s="216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8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  <v>10</v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  <v>1</v>
      </c>
      <c r="K43" s="218" t="str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  <v>Iris pseudacorus</v>
      </c>
      <c r="L43" s="232"/>
      <c r="M43" s="232"/>
      <c r="N43" s="232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  <v>1601</v>
      </c>
      <c r="Q43" s="221">
        <f t="shared" si="2"/>
        <v>0.0046</v>
      </c>
      <c r="R43" s="222">
        <f t="shared" si="3"/>
        <v>1</v>
      </c>
      <c r="S43" s="222">
        <f t="shared" si="4"/>
        <v>10</v>
      </c>
      <c r="T43" s="222">
        <f t="shared" si="5"/>
        <v>10</v>
      </c>
      <c r="U43" s="233">
        <f t="shared" si="6"/>
        <v>1</v>
      </c>
      <c r="V43" s="223">
        <f t="shared" si="7"/>
      </c>
      <c r="W43" s="224" t="s">
        <v>54</v>
      </c>
      <c r="Y43" s="225" t="str">
        <f>IF(A43="new.cod","NEWCOD",IF(AND((Z43=""),ISTEXT(A43)),A43,IF(Z43="","",INDEX('[1]liste reference'!$A$8:$A$904,Z43))))</f>
        <v>IRIPSE</v>
      </c>
      <c r="Z43" s="8">
        <f>IF(ISERROR(MATCH(A43,'[1]liste reference'!$A$8:$A$904,0)),IF(ISERROR(MATCH(A43,'[1]liste reference'!$B$8:$B$904,0)),"",(MATCH(A43,'[1]liste reference'!$B$8:$B$904,0))),(MATCH(A43,'[1]liste reference'!$A$8:$A$904,0)))</f>
        <v>582</v>
      </c>
      <c r="AA43" s="226"/>
      <c r="AB43" s="227"/>
      <c r="AC43" s="227"/>
      <c r="BB43" s="8">
        <f t="shared" si="8"/>
        <v>1</v>
      </c>
    </row>
    <row r="44" spans="1:54" ht="12.75">
      <c r="A44" s="228" t="s">
        <v>98</v>
      </c>
      <c r="B44" s="211">
        <v>0</v>
      </c>
      <c r="C44" s="229">
        <v>0.0046</v>
      </c>
      <c r="D44" s="213" t="str">
        <f>IF(ISERROR(VLOOKUP($A44,'[1]liste reference'!$A$7:$D$904,2,0)),IF(ISERROR(VLOOKUP($A44,'[1]liste reference'!$B$7:$D$904,1,0)),"",VLOOKUP($A44,'[1]liste reference'!$B$7:$D$904,1,0)),VLOOKUP($A44,'[1]liste reference'!$A$7:$D$904,2,0))</f>
        <v>Lysimachia vulgaris</v>
      </c>
      <c r="E44" s="230" t="e">
        <f>IF(D44="",,VLOOKUP(D44,D$22:D43,1,0))</f>
        <v>#N/A</v>
      </c>
      <c r="F44" s="235">
        <f t="shared" si="1"/>
        <v>0.0046</v>
      </c>
      <c r="G44" s="215" t="str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  <v>PHe</v>
      </c>
      <c r="H44" s="216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8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 t="str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  <v>Lysimachia vulgaris</v>
      </c>
      <c r="L44" s="232"/>
      <c r="M44" s="232"/>
      <c r="N44" s="232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  <v>1887</v>
      </c>
      <c r="Q44" s="221">
        <f t="shared" si="2"/>
        <v>0.0046</v>
      </c>
      <c r="R44" s="222">
        <f t="shared" si="3"/>
        <v>1</v>
      </c>
      <c r="S44" s="222">
        <f t="shared" si="4"/>
        <v>0</v>
      </c>
      <c r="T44" s="222">
        <f t="shared" si="5"/>
        <v>0</v>
      </c>
      <c r="U44" s="233">
        <f t="shared" si="6"/>
        <v>0</v>
      </c>
      <c r="V44" s="223">
        <f t="shared" si="7"/>
      </c>
      <c r="W44" s="224" t="s">
        <v>54</v>
      </c>
      <c r="Y44" s="225" t="str">
        <f>IF(A44="new.cod","NEWCOD",IF(AND((Z44=""),ISTEXT(A44)),A44,IF(Z44="","",INDEX('[1]liste reference'!$A$8:$A$904,Z44))))</f>
        <v>LYSVUL</v>
      </c>
      <c r="Z44" s="8">
        <f>IF(ISERROR(MATCH(A44,'[1]liste reference'!$A$8:$A$904,0)),IF(ISERROR(MATCH(A44,'[1]liste reference'!$B$8:$B$904,0)),"",(MATCH(A44,'[1]liste reference'!$B$8:$B$904,0))),(MATCH(A44,'[1]liste reference'!$A$8:$A$904,0)))</f>
        <v>601</v>
      </c>
      <c r="AA44" s="226"/>
      <c r="AB44" s="227"/>
      <c r="AC44" s="227"/>
      <c r="BB44" s="8">
        <f t="shared" si="8"/>
        <v>1</v>
      </c>
    </row>
    <row r="45" spans="1:54" ht="12.75">
      <c r="A45" s="228" t="s">
        <v>99</v>
      </c>
      <c r="B45" s="211">
        <v>0</v>
      </c>
      <c r="C45" s="229">
        <v>0.0046</v>
      </c>
      <c r="D45" s="213" t="str">
        <f>IF(ISERROR(VLOOKUP($A45,'[1]liste reference'!$A$7:$D$904,2,0)),IF(ISERROR(VLOOKUP($A45,'[1]liste reference'!$B$7:$D$904,1,0)),"",VLOOKUP($A45,'[1]liste reference'!$B$7:$D$904,1,0)),VLOOKUP($A45,'[1]liste reference'!$A$7:$D$904,2,0))</f>
        <v>Lythrum salicaria</v>
      </c>
      <c r="E45" s="230" t="e">
        <f>IF(D45="",,VLOOKUP(D45,D$22:D44,1,0))</f>
        <v>#N/A</v>
      </c>
      <c r="F45" s="235">
        <f t="shared" si="1"/>
        <v>0.0046</v>
      </c>
      <c r="G45" s="215" t="str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  <v>PHe</v>
      </c>
      <c r="H45" s="216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8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 t="str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  <v>Lythrum salicaria</v>
      </c>
      <c r="L45" s="232"/>
      <c r="M45" s="232"/>
      <c r="N45" s="232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  <v>1823</v>
      </c>
      <c r="Q45" s="221">
        <f t="shared" si="2"/>
        <v>0.0046</v>
      </c>
      <c r="R45" s="222">
        <f t="shared" si="3"/>
        <v>1</v>
      </c>
      <c r="S45" s="222">
        <f t="shared" si="4"/>
        <v>0</v>
      </c>
      <c r="T45" s="222">
        <f t="shared" si="5"/>
        <v>0</v>
      </c>
      <c r="U45" s="233">
        <f t="shared" si="6"/>
        <v>0</v>
      </c>
      <c r="V45" s="223">
        <f t="shared" si="7"/>
      </c>
      <c r="W45" s="224" t="s">
        <v>54</v>
      </c>
      <c r="Y45" s="225" t="str">
        <f>IF(A45="new.cod","NEWCOD",IF(AND((Z45=""),ISTEXT(A45)),A45,IF(Z45="","",INDEX('[1]liste reference'!$A$8:$A$904,Z45))))</f>
        <v>LYTSAL</v>
      </c>
      <c r="Z45" s="8">
        <f>IF(ISERROR(MATCH(A45,'[1]liste reference'!$A$8:$A$904,0)),IF(ISERROR(MATCH(A45,'[1]liste reference'!$B$8:$B$904,0)),"",(MATCH(A45,'[1]liste reference'!$B$8:$B$904,0))),(MATCH(A45,'[1]liste reference'!$A$8:$A$904,0)))</f>
        <v>605</v>
      </c>
      <c r="AA45" s="226"/>
      <c r="AB45" s="227"/>
      <c r="AC45" s="227"/>
      <c r="BB45" s="8">
        <f t="shared" si="8"/>
        <v>1</v>
      </c>
    </row>
    <row r="46" spans="1:54" ht="12.75">
      <c r="A46" s="228" t="s">
        <v>100</v>
      </c>
      <c r="B46" s="211">
        <v>0</v>
      </c>
      <c r="C46" s="229">
        <v>0.0046</v>
      </c>
      <c r="D46" s="213" t="str">
        <f>IF(ISERROR(VLOOKUP($A46,'[1]liste reference'!$A$7:$D$904,2,0)),IF(ISERROR(VLOOKUP($A46,'[1]liste reference'!$B$7:$D$904,1,0)),"",VLOOKUP($A46,'[1]liste reference'!$B$7:$D$904,1,0)),VLOOKUP($A46,'[1]liste reference'!$A$7:$D$904,2,0))</f>
        <v>Phalaris arundinacea</v>
      </c>
      <c r="E46" s="230" t="e">
        <f>IF(D46="",,VLOOKUP(D46,D$22:D39,1,0))</f>
        <v>#N/A</v>
      </c>
      <c r="F46" s="235">
        <f t="shared" si="1"/>
        <v>0.0046</v>
      </c>
      <c r="G46" s="215" t="str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  <v>PHe</v>
      </c>
      <c r="H46" s="216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8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  <v>10</v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  <v>1</v>
      </c>
      <c r="K46" s="218" t="str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  <v>Phalaris arundinacea</v>
      </c>
      <c r="L46" s="232"/>
      <c r="M46" s="232"/>
      <c r="N46" s="232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  <v>1577</v>
      </c>
      <c r="Q46" s="221">
        <f t="shared" si="2"/>
        <v>0.0046</v>
      </c>
      <c r="R46" s="222">
        <f t="shared" si="3"/>
        <v>1</v>
      </c>
      <c r="S46" s="222">
        <f t="shared" si="4"/>
        <v>10</v>
      </c>
      <c r="T46" s="222">
        <f t="shared" si="5"/>
        <v>10</v>
      </c>
      <c r="U46" s="233">
        <f t="shared" si="6"/>
        <v>1</v>
      </c>
      <c r="V46" s="223">
        <f t="shared" si="7"/>
      </c>
      <c r="W46" s="224" t="s">
        <v>54</v>
      </c>
      <c r="Y46" s="225" t="str">
        <f>IF(A46="new.cod","NEWCOD",IF(AND((Z46=""),ISTEXT(A46)),A46,IF(Z46="","",INDEX('[1]liste reference'!$A$8:$A$904,Z46))))</f>
        <v>PHAARU</v>
      </c>
      <c r="Z46" s="8">
        <f>IF(ISERROR(MATCH(A46,'[1]liste reference'!$A$8:$A$904,0)),IF(ISERROR(MATCH(A46,'[1]liste reference'!$B$8:$B$904,0)),"",(MATCH(A46,'[1]liste reference'!$B$8:$B$904,0))),(MATCH(A46,'[1]liste reference'!$A$8:$A$904,0)))</f>
        <v>634</v>
      </c>
      <c r="AA46" s="226"/>
      <c r="AB46" s="227"/>
      <c r="AC46" s="227"/>
      <c r="BB46" s="8">
        <f t="shared" si="8"/>
        <v>1</v>
      </c>
    </row>
    <row r="47" spans="1:54" ht="12.75">
      <c r="A47" s="228" t="s">
        <v>101</v>
      </c>
      <c r="B47" s="211">
        <v>0</v>
      </c>
      <c r="C47" s="229">
        <v>0.0046</v>
      </c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0">
        <f>IF(D47="",,VLOOKUP(D47,D$22:D39,1,0))</f>
        <v>0</v>
      </c>
      <c r="F47" s="235">
        <f t="shared" si="1"/>
        <v>0.0046</v>
      </c>
      <c r="G47" s="215" t="str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  <v>    -</v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 t="str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  <v>Salix alba</v>
      </c>
      <c r="L47" s="232"/>
      <c r="M47" s="232"/>
      <c r="N47" s="232"/>
      <c r="O47" s="220"/>
      <c r="P47" s="220" t="str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  <v>No</v>
      </c>
      <c r="Q47" s="221">
        <f t="shared" si="2"/>
      </c>
      <c r="R47" s="222">
        <f t="shared" si="3"/>
      </c>
      <c r="S47" s="222">
        <f t="shared" si="4"/>
        <v>0</v>
      </c>
      <c r="T47" s="222">
        <f t="shared" si="5"/>
        <v>0</v>
      </c>
      <c r="U47" s="233">
        <f t="shared" si="6"/>
        <v>0</v>
      </c>
      <c r="V47" s="223">
        <f t="shared" si="7"/>
      </c>
      <c r="W47" s="224" t="s">
        <v>54</v>
      </c>
      <c r="Y47" s="225" t="str">
        <f>IF(A47="new.cod","NEWCOD",IF(AND((Z47=""),ISTEXT(A47)),A47,IF(Z47="","",INDEX('[1]liste reference'!$A$8:$A$904,Z47))))</f>
        <v>newcod</v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 t="s">
        <v>102</v>
      </c>
      <c r="AC47" s="227"/>
      <c r="BB47" s="8">
        <f t="shared" si="8"/>
        <v>1</v>
      </c>
    </row>
    <row r="48" spans="1:54" ht="12.75">
      <c r="A48" s="228" t="s">
        <v>101</v>
      </c>
      <c r="B48" s="236"/>
      <c r="C48" s="229">
        <v>0.0046</v>
      </c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0">
        <f>IF(D48="",,VLOOKUP(D48,D$22:D40,1,0))</f>
        <v>0</v>
      </c>
      <c r="F48" s="235">
        <f t="shared" si="1"/>
        <v>0.0046</v>
      </c>
      <c r="G48" s="215" t="str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  <v>    -</v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 t="str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  <v>Salix cinerea</v>
      </c>
      <c r="L48" s="232"/>
      <c r="M48" s="232"/>
      <c r="N48" s="232"/>
      <c r="O48" s="220"/>
      <c r="P48" s="220" t="str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  <v>No</v>
      </c>
      <c r="Q48" s="221">
        <f t="shared" si="2"/>
      </c>
      <c r="R48" s="222">
        <f t="shared" si="3"/>
      </c>
      <c r="S48" s="222">
        <f t="shared" si="4"/>
        <v>0</v>
      </c>
      <c r="T48" s="222">
        <f t="shared" si="5"/>
        <v>0</v>
      </c>
      <c r="U48" s="233">
        <f t="shared" si="6"/>
        <v>0</v>
      </c>
      <c r="V48" s="223">
        <f t="shared" si="7"/>
      </c>
      <c r="W48" s="224" t="s">
        <v>54</v>
      </c>
      <c r="Y48" s="225" t="str">
        <f>IF(A48="new.cod","NEWCOD",IF(AND((Z48=""),ISTEXT(A48)),A48,IF(Z48="","",INDEX('[1]liste reference'!$A$8:$A$904,Z48))))</f>
        <v>newcod</v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 t="s">
        <v>103</v>
      </c>
      <c r="AC48" s="227"/>
      <c r="BB48" s="8">
        <f t="shared" si="8"/>
        <v>1</v>
      </c>
    </row>
    <row r="49" spans="1:54" ht="12.75">
      <c r="A49" s="228" t="s">
        <v>54</v>
      </c>
      <c r="B49" s="236"/>
      <c r="C49" s="229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0">
        <f>IF(D49="",,VLOOKUP(D49,D$22:D48,1,0))</f>
        <v>0</v>
      </c>
      <c r="F49" s="235">
        <f t="shared" si="1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2"/>
      <c r="M49" s="232"/>
      <c r="N49" s="232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2"/>
      </c>
      <c r="R49" s="222">
        <f t="shared" si="3"/>
      </c>
      <c r="S49" s="222">
        <f t="shared" si="4"/>
        <v>0</v>
      </c>
      <c r="T49" s="222">
        <f t="shared" si="5"/>
        <v>0</v>
      </c>
      <c r="U49" s="233">
        <f t="shared" si="6"/>
        <v>0</v>
      </c>
      <c r="V49" s="223">
        <f t="shared" si="7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8"/>
      </c>
    </row>
    <row r="50" spans="1:54" ht="12.75">
      <c r="A50" s="228" t="s">
        <v>54</v>
      </c>
      <c r="B50" s="236"/>
      <c r="C50" s="229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0">
        <f>IF(D50="",,VLOOKUP(D50,D$22:D49,1,0))</f>
        <v>0</v>
      </c>
      <c r="F50" s="235">
        <f t="shared" si="1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2"/>
      <c r="M50" s="232"/>
      <c r="N50" s="232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2"/>
      </c>
      <c r="R50" s="222">
        <f t="shared" si="3"/>
      </c>
      <c r="S50" s="222">
        <f t="shared" si="4"/>
        <v>0</v>
      </c>
      <c r="T50" s="222">
        <f t="shared" si="5"/>
        <v>0</v>
      </c>
      <c r="U50" s="233">
        <f t="shared" si="6"/>
        <v>0</v>
      </c>
      <c r="V50" s="223">
        <f t="shared" si="7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8"/>
      </c>
    </row>
    <row r="51" spans="1:54" ht="12.75">
      <c r="A51" s="228" t="s">
        <v>54</v>
      </c>
      <c r="B51" s="236"/>
      <c r="C51" s="229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0">
        <f>IF(D51="",,VLOOKUP(D51,D$22:D50,1,0))</f>
        <v>0</v>
      </c>
      <c r="F51" s="235">
        <f t="shared" si="1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2"/>
      <c r="M51" s="232"/>
      <c r="N51" s="232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2"/>
      </c>
      <c r="R51" s="222">
        <f t="shared" si="3"/>
      </c>
      <c r="S51" s="222">
        <f t="shared" si="4"/>
        <v>0</v>
      </c>
      <c r="T51" s="222">
        <f t="shared" si="5"/>
        <v>0</v>
      </c>
      <c r="U51" s="233">
        <f t="shared" si="6"/>
        <v>0</v>
      </c>
      <c r="V51" s="223">
        <f t="shared" si="7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8"/>
      </c>
    </row>
    <row r="52" spans="1:54" ht="12.75">
      <c r="A52" s="228" t="s">
        <v>54</v>
      </c>
      <c r="B52" s="236"/>
      <c r="C52" s="229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0">
        <f>IF(D52="",,VLOOKUP(D52,D$22:D51,1,0))</f>
        <v>0</v>
      </c>
      <c r="F52" s="235">
        <f t="shared" si="1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2"/>
      <c r="M52" s="232"/>
      <c r="N52" s="232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2"/>
      </c>
      <c r="R52" s="222">
        <f t="shared" si="3"/>
      </c>
      <c r="S52" s="222">
        <f t="shared" si="4"/>
        <v>0</v>
      </c>
      <c r="T52" s="222">
        <f t="shared" si="5"/>
        <v>0</v>
      </c>
      <c r="U52" s="233">
        <f t="shared" si="6"/>
        <v>0</v>
      </c>
      <c r="V52" s="223">
        <f t="shared" si="7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8"/>
      </c>
    </row>
    <row r="53" spans="1:54" ht="12.75">
      <c r="A53" s="228" t="s">
        <v>54</v>
      </c>
      <c r="B53" s="236"/>
      <c r="C53" s="229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0">
        <f>IF(D53="",,VLOOKUP(D53,D$22:D52,1,0))</f>
        <v>0</v>
      </c>
      <c r="F53" s="235">
        <f t="shared" si="1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2"/>
      <c r="M53" s="232"/>
      <c r="N53" s="232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2"/>
      </c>
      <c r="R53" s="222">
        <f t="shared" si="3"/>
      </c>
      <c r="S53" s="222">
        <f t="shared" si="4"/>
        <v>0</v>
      </c>
      <c r="T53" s="222">
        <f t="shared" si="5"/>
        <v>0</v>
      </c>
      <c r="U53" s="233">
        <f t="shared" si="6"/>
        <v>0</v>
      </c>
      <c r="V53" s="223">
        <f t="shared" si="7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8"/>
      </c>
    </row>
    <row r="54" spans="1:54" ht="12.75">
      <c r="A54" s="228" t="s">
        <v>54</v>
      </c>
      <c r="B54" s="236"/>
      <c r="C54" s="229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0">
        <f>IF(D54="",,VLOOKUP(D54,D$22:D53,1,0))</f>
        <v>0</v>
      </c>
      <c r="F54" s="235">
        <f t="shared" si="1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2"/>
      <c r="M54" s="232"/>
      <c r="N54" s="232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2"/>
      </c>
      <c r="R54" s="222">
        <f t="shared" si="3"/>
      </c>
      <c r="S54" s="222">
        <f t="shared" si="4"/>
        <v>0</v>
      </c>
      <c r="T54" s="222">
        <f t="shared" si="5"/>
        <v>0</v>
      </c>
      <c r="U54" s="233">
        <f t="shared" si="6"/>
        <v>0</v>
      </c>
      <c r="V54" s="223">
        <f t="shared" si="7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8"/>
      </c>
    </row>
    <row r="55" spans="1:54" ht="12.75">
      <c r="A55" s="228" t="s">
        <v>54</v>
      </c>
      <c r="B55" s="236"/>
      <c r="C55" s="229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0">
        <f>IF(D55="",,VLOOKUP(D55,D$22:D54,1,0))</f>
        <v>0</v>
      </c>
      <c r="F55" s="235">
        <f t="shared" si="1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2"/>
      <c r="M55" s="232"/>
      <c r="N55" s="232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2"/>
      </c>
      <c r="R55" s="222">
        <f t="shared" si="3"/>
      </c>
      <c r="S55" s="222">
        <f t="shared" si="4"/>
        <v>0</v>
      </c>
      <c r="T55" s="222">
        <f t="shared" si="5"/>
        <v>0</v>
      </c>
      <c r="U55" s="233">
        <f t="shared" si="6"/>
        <v>0</v>
      </c>
      <c r="V55" s="223">
        <f t="shared" si="7"/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8"/>
      </c>
    </row>
    <row r="56" spans="1:54" ht="12.75">
      <c r="A56" s="228" t="s">
        <v>54</v>
      </c>
      <c r="B56" s="236"/>
      <c r="C56" s="229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0">
        <f>IF(D56="",,VLOOKUP(D56,D$22:D55,1,0))</f>
        <v>0</v>
      </c>
      <c r="F56" s="235">
        <f t="shared" si="1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2"/>
      <c r="M56" s="232"/>
      <c r="N56" s="232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2"/>
      </c>
      <c r="R56" s="222">
        <f t="shared" si="3"/>
      </c>
      <c r="S56" s="222">
        <f t="shared" si="4"/>
        <v>0</v>
      </c>
      <c r="T56" s="222">
        <f t="shared" si="5"/>
        <v>0</v>
      </c>
      <c r="U56" s="233">
        <f t="shared" si="6"/>
        <v>0</v>
      </c>
      <c r="V56" s="223">
        <f t="shared" si="7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8"/>
      </c>
    </row>
    <row r="57" spans="1:54" ht="12.75">
      <c r="A57" s="228" t="s">
        <v>54</v>
      </c>
      <c r="B57" s="236"/>
      <c r="C57" s="229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0">
        <f>IF(D57="",,VLOOKUP(D57,D$21:D56,1,0))</f>
        <v>0</v>
      </c>
      <c r="F57" s="235">
        <f t="shared" si="1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2"/>
      <c r="M57" s="232"/>
      <c r="N57" s="232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2"/>
      </c>
      <c r="R57" s="222">
        <f t="shared" si="3"/>
      </c>
      <c r="S57" s="222">
        <f t="shared" si="4"/>
        <v>0</v>
      </c>
      <c r="T57" s="222">
        <f t="shared" si="5"/>
        <v>0</v>
      </c>
      <c r="U57" s="233">
        <f t="shared" si="6"/>
        <v>0</v>
      </c>
      <c r="V57" s="223">
        <f t="shared" si="7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8"/>
      </c>
    </row>
    <row r="58" spans="1:54" ht="12.75">
      <c r="A58" s="228" t="s">
        <v>54</v>
      </c>
      <c r="B58" s="236"/>
      <c r="C58" s="229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0">
        <f>IF(D58="",,VLOOKUP(D58,D$22:D57,1,0))</f>
        <v>0</v>
      </c>
      <c r="F58" s="235">
        <f t="shared" si="1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2"/>
      <c r="M58" s="232"/>
      <c r="N58" s="232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2"/>
      </c>
      <c r="R58" s="222">
        <f t="shared" si="3"/>
      </c>
      <c r="S58" s="222">
        <f t="shared" si="4"/>
        <v>0</v>
      </c>
      <c r="T58" s="222">
        <f t="shared" si="5"/>
        <v>0</v>
      </c>
      <c r="U58" s="233">
        <f t="shared" si="6"/>
        <v>0</v>
      </c>
      <c r="V58" s="223">
        <f t="shared" si="7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8"/>
      </c>
    </row>
    <row r="59" spans="1:54" ht="12.75">
      <c r="A59" s="228" t="s">
        <v>54</v>
      </c>
      <c r="B59" s="236"/>
      <c r="C59" s="229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0">
        <f>IF(D59="",,VLOOKUP(D59,D$22:D58,1,0))</f>
        <v>0</v>
      </c>
      <c r="F59" s="235">
        <f t="shared" si="1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2"/>
      </c>
      <c r="R59" s="222">
        <f t="shared" si="3"/>
      </c>
      <c r="S59" s="222">
        <f t="shared" si="4"/>
        <v>0</v>
      </c>
      <c r="T59" s="222">
        <f t="shared" si="5"/>
        <v>0</v>
      </c>
      <c r="U59" s="233">
        <f t="shared" si="6"/>
        <v>0</v>
      </c>
      <c r="V59" s="223">
        <f t="shared" si="7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8"/>
      </c>
    </row>
    <row r="60" spans="1:54" ht="12.75">
      <c r="A60" s="228" t="s">
        <v>54</v>
      </c>
      <c r="B60" s="236"/>
      <c r="C60" s="229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0">
        <f>IF(D60="",,VLOOKUP(D60,D$22:D59,1,0))</f>
        <v>0</v>
      </c>
      <c r="F60" s="235">
        <f t="shared" si="1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2"/>
      </c>
      <c r="R60" s="222">
        <f t="shared" si="3"/>
      </c>
      <c r="S60" s="222">
        <f t="shared" si="4"/>
        <v>0</v>
      </c>
      <c r="T60" s="222">
        <f t="shared" si="5"/>
        <v>0</v>
      </c>
      <c r="U60" s="233">
        <f t="shared" si="6"/>
        <v>0</v>
      </c>
      <c r="V60" s="223">
        <f t="shared" si="7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8"/>
      </c>
    </row>
    <row r="61" spans="1:54" ht="12.75">
      <c r="A61" s="228" t="s">
        <v>54</v>
      </c>
      <c r="B61" s="236"/>
      <c r="C61" s="229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0">
        <f>IF(D61="",,VLOOKUP(D61,D$22:D60,1,0))</f>
        <v>0</v>
      </c>
      <c r="F61" s="235">
        <f t="shared" si="1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2"/>
      <c r="M61" s="232"/>
      <c r="N61" s="232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2"/>
      </c>
      <c r="R61" s="222">
        <f t="shared" si="3"/>
      </c>
      <c r="S61" s="222">
        <f t="shared" si="4"/>
        <v>0</v>
      </c>
      <c r="T61" s="222">
        <f t="shared" si="5"/>
        <v>0</v>
      </c>
      <c r="U61" s="233">
        <f t="shared" si="6"/>
        <v>0</v>
      </c>
      <c r="V61" s="223">
        <f t="shared" si="7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8"/>
      </c>
    </row>
    <row r="62" spans="1:54" ht="12.75">
      <c r="A62" s="228" t="s">
        <v>54</v>
      </c>
      <c r="B62" s="236"/>
      <c r="C62" s="229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0">
        <f>IF(D62="",,VLOOKUP(D62,D$22:D61,1,0))</f>
        <v>0</v>
      </c>
      <c r="F62" s="235">
        <f t="shared" si="1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2"/>
      <c r="M62" s="232"/>
      <c r="N62" s="232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2"/>
      </c>
      <c r="R62" s="222">
        <f t="shared" si="3"/>
      </c>
      <c r="S62" s="222">
        <f t="shared" si="4"/>
        <v>0</v>
      </c>
      <c r="T62" s="222">
        <f t="shared" si="5"/>
        <v>0</v>
      </c>
      <c r="U62" s="233">
        <f t="shared" si="6"/>
        <v>0</v>
      </c>
      <c r="V62" s="223">
        <f t="shared" si="7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8"/>
      </c>
    </row>
    <row r="63" spans="1:54" ht="12.75" hidden="1">
      <c r="A63" s="228" t="s">
        <v>54</v>
      </c>
      <c r="B63" s="236"/>
      <c r="C63" s="229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0">
        <f>IF(D63="",,VLOOKUP(D63,D$22:D62,1,0))</f>
        <v>0</v>
      </c>
      <c r="F63" s="235">
        <f t="shared" si="1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2"/>
      <c r="M63" s="232"/>
      <c r="N63" s="232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2"/>
      </c>
      <c r="R63" s="222">
        <f t="shared" si="3"/>
      </c>
      <c r="S63" s="222">
        <f t="shared" si="4"/>
        <v>0</v>
      </c>
      <c r="T63" s="222">
        <f t="shared" si="5"/>
        <v>0</v>
      </c>
      <c r="U63" s="233">
        <f t="shared" si="6"/>
        <v>0</v>
      </c>
      <c r="V63" s="223">
        <f t="shared" si="7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8"/>
      </c>
    </row>
    <row r="64" spans="1:54" ht="12.75" customHeight="1" hidden="1">
      <c r="A64" s="228" t="s">
        <v>54</v>
      </c>
      <c r="B64" s="236"/>
      <c r="C64" s="229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0">
        <f>IF(D64="",,VLOOKUP(D64,D$22:D52,1,0))</f>
        <v>0</v>
      </c>
      <c r="F64" s="235">
        <f t="shared" si="1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2"/>
      <c r="M64" s="232"/>
      <c r="N64" s="232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2"/>
      </c>
      <c r="R64" s="222">
        <f t="shared" si="3"/>
      </c>
      <c r="S64" s="222">
        <f t="shared" si="4"/>
        <v>0</v>
      </c>
      <c r="T64" s="222">
        <f t="shared" si="5"/>
        <v>0</v>
      </c>
      <c r="U64" s="233">
        <f t="shared" si="6"/>
        <v>0</v>
      </c>
      <c r="V64" s="223">
        <f t="shared" si="7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8"/>
      </c>
    </row>
    <row r="65" spans="1:54" ht="12.75" hidden="1">
      <c r="A65" s="228" t="s">
        <v>54</v>
      </c>
      <c r="B65" s="236"/>
      <c r="C65" s="229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0">
        <f>IF(D65="",,VLOOKUP(D65,D$22:D53,1,0))</f>
        <v>0</v>
      </c>
      <c r="F65" s="235">
        <f t="shared" si="1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2"/>
      <c r="M65" s="232"/>
      <c r="N65" s="232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2"/>
      </c>
      <c r="R65" s="222">
        <f t="shared" si="3"/>
      </c>
      <c r="S65" s="222">
        <f t="shared" si="4"/>
        <v>0</v>
      </c>
      <c r="T65" s="222">
        <f t="shared" si="5"/>
        <v>0</v>
      </c>
      <c r="U65" s="233">
        <f t="shared" si="6"/>
        <v>0</v>
      </c>
      <c r="V65" s="223">
        <f t="shared" si="7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8"/>
      </c>
    </row>
    <row r="66" spans="1:54" ht="12.75" hidden="1">
      <c r="A66" s="228" t="s">
        <v>54</v>
      </c>
      <c r="B66" s="236"/>
      <c r="C66" s="229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0">
        <f>IF(D66="",,VLOOKUP(D66,D$22:D51,1,0))</f>
        <v>0</v>
      </c>
      <c r="F66" s="235">
        <f t="shared" si="1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2"/>
      <c r="M66" s="232"/>
      <c r="N66" s="232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2"/>
      </c>
      <c r="R66" s="222">
        <f t="shared" si="3"/>
      </c>
      <c r="S66" s="222">
        <f t="shared" si="4"/>
        <v>0</v>
      </c>
      <c r="T66" s="222">
        <f t="shared" si="5"/>
        <v>0</v>
      </c>
      <c r="U66" s="233">
        <f t="shared" si="6"/>
        <v>0</v>
      </c>
      <c r="V66" s="223">
        <f t="shared" si="7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8"/>
      </c>
    </row>
    <row r="67" spans="1:54" ht="12.75" hidden="1">
      <c r="A67" s="228" t="s">
        <v>54</v>
      </c>
      <c r="B67" s="236"/>
      <c r="C67" s="229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0">
        <f>IF(D67="",,VLOOKUP(D67,D$22:D52,1,0))</f>
        <v>0</v>
      </c>
      <c r="F67" s="235">
        <f t="shared" si="1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2"/>
      <c r="M67" s="232"/>
      <c r="N67" s="232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2"/>
      </c>
      <c r="R67" s="222">
        <f t="shared" si="3"/>
      </c>
      <c r="S67" s="222">
        <f t="shared" si="4"/>
        <v>0</v>
      </c>
      <c r="T67" s="222">
        <f t="shared" si="5"/>
        <v>0</v>
      </c>
      <c r="U67" s="233">
        <f t="shared" si="6"/>
        <v>0</v>
      </c>
      <c r="V67" s="223">
        <f t="shared" si="7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8"/>
      </c>
    </row>
    <row r="68" spans="1:54" ht="12.75" hidden="1">
      <c r="A68" s="228" t="s">
        <v>54</v>
      </c>
      <c r="B68" s="236"/>
      <c r="C68" s="229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0">
        <f>IF(D68="",,VLOOKUP(D68,D$22:D53,1,0))</f>
        <v>0</v>
      </c>
      <c r="F68" s="235">
        <f t="shared" si="1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2"/>
      <c r="M68" s="232"/>
      <c r="N68" s="232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2"/>
      </c>
      <c r="R68" s="222">
        <f t="shared" si="3"/>
      </c>
      <c r="S68" s="222">
        <f t="shared" si="4"/>
        <v>0</v>
      </c>
      <c r="T68" s="222">
        <f t="shared" si="5"/>
        <v>0</v>
      </c>
      <c r="U68" s="233">
        <f t="shared" si="6"/>
        <v>0</v>
      </c>
      <c r="V68" s="223">
        <f t="shared" si="7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8"/>
      </c>
    </row>
    <row r="69" spans="1:54" ht="12.75" hidden="1">
      <c r="A69" s="228" t="s">
        <v>54</v>
      </c>
      <c r="B69" s="236"/>
      <c r="C69" s="229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0">
        <f>IF(D69="",,VLOOKUP(D69,D$22:D54,1,0))</f>
        <v>0</v>
      </c>
      <c r="F69" s="235">
        <f t="shared" si="1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2"/>
      <c r="M69" s="232"/>
      <c r="N69" s="232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2"/>
      </c>
      <c r="R69" s="222">
        <f t="shared" si="3"/>
      </c>
      <c r="S69" s="222">
        <f t="shared" si="4"/>
        <v>0</v>
      </c>
      <c r="T69" s="222">
        <f t="shared" si="5"/>
        <v>0</v>
      </c>
      <c r="U69" s="233">
        <f t="shared" si="6"/>
        <v>0</v>
      </c>
      <c r="V69" s="223">
        <f t="shared" si="7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8"/>
      </c>
    </row>
    <row r="70" spans="1:54" ht="12.75" hidden="1">
      <c r="A70" s="228" t="s">
        <v>54</v>
      </c>
      <c r="B70" s="236"/>
      <c r="C70" s="229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0">
        <f>IF(D70="",,VLOOKUP(D70,D$22:D55,1,0))</f>
        <v>0</v>
      </c>
      <c r="F70" s="235">
        <f t="shared" si="1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2"/>
      <c r="M70" s="232"/>
      <c r="N70" s="232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2"/>
      </c>
      <c r="R70" s="222">
        <f t="shared" si="3"/>
      </c>
      <c r="S70" s="222">
        <f t="shared" si="4"/>
        <v>0</v>
      </c>
      <c r="T70" s="222">
        <f t="shared" si="5"/>
        <v>0</v>
      </c>
      <c r="U70" s="233">
        <f t="shared" si="6"/>
        <v>0</v>
      </c>
      <c r="V70" s="223">
        <f t="shared" si="7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8"/>
      </c>
    </row>
    <row r="71" spans="1:54" ht="12.75" hidden="1">
      <c r="A71" s="228" t="s">
        <v>54</v>
      </c>
      <c r="B71" s="236"/>
      <c r="C71" s="229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0">
        <f>IF(D71="",,VLOOKUP(D71,D$22:D56,1,0))</f>
        <v>0</v>
      </c>
      <c r="F71" s="235">
        <f t="shared" si="1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2"/>
      <c r="M71" s="232"/>
      <c r="N71" s="232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2"/>
      </c>
      <c r="R71" s="222">
        <f t="shared" si="3"/>
      </c>
      <c r="S71" s="222">
        <f t="shared" si="4"/>
        <v>0</v>
      </c>
      <c r="T71" s="222">
        <f t="shared" si="5"/>
        <v>0</v>
      </c>
      <c r="U71" s="233">
        <f t="shared" si="6"/>
        <v>0</v>
      </c>
      <c r="V71" s="223">
        <f t="shared" si="7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8"/>
      </c>
    </row>
    <row r="72" spans="1:54" ht="12.75" hidden="1">
      <c r="A72" s="228" t="s">
        <v>54</v>
      </c>
      <c r="B72" s="236"/>
      <c r="C72" s="229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0">
        <f>IF(D72="",,VLOOKUP(D72,D$22:D57,1,0))</f>
        <v>0</v>
      </c>
      <c r="F72" s="235">
        <f t="shared" si="1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2"/>
      <c r="M72" s="232"/>
      <c r="N72" s="232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2"/>
      </c>
      <c r="R72" s="222">
        <f t="shared" si="3"/>
      </c>
      <c r="S72" s="222">
        <f t="shared" si="4"/>
        <v>0</v>
      </c>
      <c r="T72" s="222">
        <f t="shared" si="5"/>
        <v>0</v>
      </c>
      <c r="U72" s="233">
        <f t="shared" si="6"/>
        <v>0</v>
      </c>
      <c r="V72" s="223">
        <f t="shared" si="7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8"/>
      </c>
    </row>
    <row r="73" spans="1:54" ht="12.75" hidden="1">
      <c r="A73" s="228" t="s">
        <v>54</v>
      </c>
      <c r="B73" s="236"/>
      <c r="C73" s="229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0">
        <f>IF(D73="",,VLOOKUP(D73,D$22:D57,1,0))</f>
        <v>0</v>
      </c>
      <c r="F73" s="235">
        <f t="shared" si="1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2"/>
      <c r="M73" s="232"/>
      <c r="N73" s="232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2"/>
      </c>
      <c r="R73" s="222">
        <f t="shared" si="3"/>
      </c>
      <c r="S73" s="222">
        <f t="shared" si="4"/>
        <v>0</v>
      </c>
      <c r="T73" s="222">
        <f t="shared" si="5"/>
        <v>0</v>
      </c>
      <c r="U73" s="233">
        <f t="shared" si="6"/>
        <v>0</v>
      </c>
      <c r="V73" s="223">
        <f t="shared" si="7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8"/>
      </c>
    </row>
    <row r="74" spans="1:54" ht="12.75" hidden="1">
      <c r="A74" s="228" t="s">
        <v>54</v>
      </c>
      <c r="B74" s="236"/>
      <c r="C74" s="229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0">
        <f>IF(D74="",,VLOOKUP(D74,D$22:D58,1,0))</f>
        <v>0</v>
      </c>
      <c r="F74" s="235">
        <f t="shared" si="1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2"/>
      <c r="M74" s="232"/>
      <c r="N74" s="232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2"/>
      </c>
      <c r="R74" s="222">
        <f t="shared" si="3"/>
      </c>
      <c r="S74" s="222">
        <f t="shared" si="4"/>
        <v>0</v>
      </c>
      <c r="T74" s="222">
        <f t="shared" si="5"/>
        <v>0</v>
      </c>
      <c r="U74" s="233">
        <f t="shared" si="6"/>
        <v>0</v>
      </c>
      <c r="V74" s="223">
        <f t="shared" si="7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8"/>
      </c>
    </row>
    <row r="75" spans="1:54" ht="12.75" hidden="1">
      <c r="A75" s="228" t="s">
        <v>54</v>
      </c>
      <c r="B75" s="236"/>
      <c r="C75" s="229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0">
        <f>IF(D75="",,VLOOKUP(D75,D$22:D59,1,0))</f>
        <v>0</v>
      </c>
      <c r="F75" s="235">
        <f t="shared" si="1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2"/>
      <c r="M75" s="232"/>
      <c r="N75" s="232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2"/>
      </c>
      <c r="R75" s="222">
        <f t="shared" si="3"/>
      </c>
      <c r="S75" s="222">
        <f t="shared" si="4"/>
        <v>0</v>
      </c>
      <c r="T75" s="222">
        <f t="shared" si="5"/>
        <v>0</v>
      </c>
      <c r="U75" s="233">
        <f t="shared" si="6"/>
        <v>0</v>
      </c>
      <c r="V75" s="223">
        <f t="shared" si="7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8"/>
      </c>
    </row>
    <row r="76" spans="1:54" ht="12.75" hidden="1">
      <c r="A76" s="228" t="s">
        <v>54</v>
      </c>
      <c r="B76" s="236"/>
      <c r="C76" s="229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0">
        <f>IF(D76="",,VLOOKUP(D76,D$22:D59,1,0))</f>
        <v>0</v>
      </c>
      <c r="F76" s="235">
        <f t="shared" si="1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2"/>
      <c r="M76" s="232"/>
      <c r="N76" s="232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2"/>
      </c>
      <c r="R76" s="222">
        <f t="shared" si="3"/>
      </c>
      <c r="S76" s="222">
        <f t="shared" si="4"/>
        <v>0</v>
      </c>
      <c r="T76" s="222">
        <f t="shared" si="5"/>
        <v>0</v>
      </c>
      <c r="U76" s="233">
        <f t="shared" si="6"/>
        <v>0</v>
      </c>
      <c r="V76" s="223">
        <f t="shared" si="7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8"/>
      </c>
    </row>
    <row r="77" spans="1:54" ht="12.75" hidden="1">
      <c r="A77" s="228" t="s">
        <v>54</v>
      </c>
      <c r="B77" s="236"/>
      <c r="C77" s="229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0">
        <f>IF(D77="",,VLOOKUP(D77,D$22:D75,1,0))</f>
        <v>0</v>
      </c>
      <c r="F77" s="235">
        <f t="shared" si="1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2"/>
      <c r="M77" s="232"/>
      <c r="N77" s="232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2"/>
      </c>
      <c r="R77" s="222">
        <f t="shared" si="3"/>
      </c>
      <c r="S77" s="222">
        <f t="shared" si="4"/>
        <v>0</v>
      </c>
      <c r="T77" s="222">
        <f t="shared" si="5"/>
        <v>0</v>
      </c>
      <c r="U77" s="233">
        <f t="shared" si="6"/>
        <v>0</v>
      </c>
      <c r="V77" s="223">
        <f t="shared" si="7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8"/>
      </c>
    </row>
    <row r="78" spans="1:54" ht="12.75" hidden="1">
      <c r="A78" s="228" t="s">
        <v>54</v>
      </c>
      <c r="B78" s="236"/>
      <c r="C78" s="229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0">
        <f>IF(D78="",,VLOOKUP(D78,D$22:D75,1,0))</f>
        <v>0</v>
      </c>
      <c r="F78" s="235">
        <f t="shared" si="1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2"/>
      <c r="M78" s="232"/>
      <c r="N78" s="232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2"/>
      </c>
      <c r="R78" s="222">
        <f t="shared" si="3"/>
      </c>
      <c r="S78" s="222">
        <f t="shared" si="4"/>
        <v>0</v>
      </c>
      <c r="T78" s="222">
        <f t="shared" si="5"/>
        <v>0</v>
      </c>
      <c r="U78" s="233">
        <f t="shared" si="6"/>
        <v>0</v>
      </c>
      <c r="V78" s="223">
        <f t="shared" si="7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8"/>
      </c>
    </row>
    <row r="79" spans="1:54" ht="12.75" hidden="1">
      <c r="A79" s="228" t="s">
        <v>54</v>
      </c>
      <c r="B79" s="236"/>
      <c r="C79" s="229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0">
        <f>IF(D79="",,VLOOKUP(D79,D$22:D75,1,0))</f>
        <v>0</v>
      </c>
      <c r="F79" s="235">
        <f t="shared" si="1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2"/>
      <c r="M79" s="232"/>
      <c r="N79" s="232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2"/>
      </c>
      <c r="R79" s="222">
        <f t="shared" si="3"/>
      </c>
      <c r="S79" s="222">
        <f t="shared" si="4"/>
        <v>0</v>
      </c>
      <c r="T79" s="222">
        <f t="shared" si="5"/>
        <v>0</v>
      </c>
      <c r="U79" s="233">
        <f t="shared" si="6"/>
        <v>0</v>
      </c>
      <c r="V79" s="223">
        <f t="shared" si="7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8"/>
      </c>
    </row>
    <row r="80" spans="1:54" ht="12.75" hidden="1">
      <c r="A80" s="228" t="s">
        <v>54</v>
      </c>
      <c r="B80" s="236"/>
      <c r="C80" s="229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0">
        <f>IF(D80="",,VLOOKUP(D80,D$22:D79,1,0))</f>
        <v>0</v>
      </c>
      <c r="F80" s="235">
        <f t="shared" si="1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2"/>
      <c r="M80" s="232"/>
      <c r="N80" s="232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2"/>
      </c>
      <c r="R80" s="222">
        <f t="shared" si="3"/>
      </c>
      <c r="S80" s="222">
        <f t="shared" si="4"/>
        <v>0</v>
      </c>
      <c r="T80" s="222">
        <f t="shared" si="5"/>
        <v>0</v>
      </c>
      <c r="U80" s="233">
        <f t="shared" si="6"/>
        <v>0</v>
      </c>
      <c r="V80" s="223">
        <f t="shared" si="7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8"/>
      </c>
    </row>
    <row r="81" spans="1:54" ht="12.75" hidden="1">
      <c r="A81" s="228" t="s">
        <v>54</v>
      </c>
      <c r="B81" s="236"/>
      <c r="C81" s="229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0">
        <f>IF(D81="",,VLOOKUP(D81,D$21:D80,1,0))</f>
        <v>0</v>
      </c>
      <c r="F81" s="235">
        <f t="shared" si="1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2"/>
      </c>
      <c r="R81" s="222">
        <f t="shared" si="3"/>
      </c>
      <c r="S81" s="222">
        <f t="shared" si="4"/>
        <v>0</v>
      </c>
      <c r="T81" s="222">
        <f t="shared" si="5"/>
        <v>0</v>
      </c>
      <c r="U81" s="233">
        <f t="shared" si="6"/>
        <v>0</v>
      </c>
      <c r="V81" s="223">
        <f t="shared" si="7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8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1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2"/>
      </c>
      <c r="R82" s="222">
        <f t="shared" si="3"/>
      </c>
      <c r="S82" s="222">
        <f t="shared" si="4"/>
        <v>0</v>
      </c>
      <c r="T82" s="222">
        <f t="shared" si="5"/>
        <v>0</v>
      </c>
      <c r="U82" s="233">
        <f t="shared" si="6"/>
        <v>0</v>
      </c>
      <c r="V82" s="223">
        <f t="shared" si="7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8"/>
      </c>
    </row>
    <row r="83" spans="1:30" ht="15" hidden="1">
      <c r="A83" s="259" t="s">
        <v>104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Saône</v>
      </c>
      <c r="B84" s="265" t="str">
        <f>C3</f>
        <v>Saône à St Symphorien</v>
      </c>
      <c r="C84" s="266">
        <f>A4</f>
        <v>41521</v>
      </c>
      <c r="D84" s="267">
        <f>IF(ISERROR(SUM($T$23:$T$82)/SUM($U$23:$U$82)),"",SUM($T$23:$T$82)/SUM($U$23:$U$82))</f>
        <v>7.911764705882353</v>
      </c>
      <c r="E84" s="268">
        <f>N13</f>
        <v>26</v>
      </c>
      <c r="F84" s="265">
        <f>N14</f>
        <v>21</v>
      </c>
      <c r="G84" s="265">
        <f>N15</f>
        <v>6</v>
      </c>
      <c r="H84" s="265">
        <f>N16</f>
        <v>10</v>
      </c>
      <c r="I84" s="265">
        <f>N17</f>
        <v>5</v>
      </c>
      <c r="J84" s="269">
        <f>N8</f>
        <v>7.904761904761905</v>
      </c>
      <c r="K84" s="267">
        <f>N9</f>
        <v>3.0999963426209134</v>
      </c>
      <c r="L84" s="268">
        <f>N10</f>
        <v>2</v>
      </c>
      <c r="M84" s="268">
        <f>N11</f>
        <v>13</v>
      </c>
      <c r="N84" s="267">
        <f>O8</f>
        <v>1.9523809523809523</v>
      </c>
      <c r="O84" s="267">
        <f>O9</f>
        <v>0.7221786137191952</v>
      </c>
      <c r="P84" s="268">
        <f>O10</f>
        <v>1</v>
      </c>
      <c r="Q84" s="268">
        <f>O11</f>
        <v>3</v>
      </c>
      <c r="R84" s="268">
        <f>F21</f>
        <v>42.11882235294121</v>
      </c>
      <c r="S84" s="268">
        <f>K11</f>
        <v>0</v>
      </c>
      <c r="T84" s="268">
        <f>K12</f>
        <v>7</v>
      </c>
      <c r="U84" s="268">
        <f>K13</f>
        <v>1</v>
      </c>
      <c r="V84" s="270">
        <f>K14</f>
        <v>0</v>
      </c>
      <c r="W84" s="271">
        <f>K15</f>
        <v>16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105</v>
      </c>
      <c r="R86" s="8"/>
      <c r="S86" s="223"/>
      <c r="T86" s="8"/>
      <c r="U86" s="8"/>
      <c r="V86" s="8"/>
    </row>
    <row r="87" spans="16:22" ht="12.75" hidden="1">
      <c r="P87" s="8"/>
      <c r="Q87" s="8" t="s">
        <v>106</v>
      </c>
      <c r="R87" s="8"/>
      <c r="S87" s="223">
        <f>VLOOKUP(MAX($S$23:$S$82),($S$23:$U$82),1,0)</f>
        <v>36</v>
      </c>
      <c r="T87" s="8"/>
      <c r="U87" s="8"/>
      <c r="V87" s="8"/>
    </row>
    <row r="88" spans="16:22" ht="12.75" hidden="1">
      <c r="P88" s="8"/>
      <c r="Q88" s="8" t="s">
        <v>107</v>
      </c>
      <c r="R88" s="8"/>
      <c r="S88" s="223">
        <f>VLOOKUP((S87),($S$23:$U$82),2,0)</f>
        <v>108</v>
      </c>
      <c r="T88" s="8"/>
      <c r="U88" s="8"/>
      <c r="V88" s="8"/>
    </row>
    <row r="89" spans="17:20" ht="12.75" hidden="1">
      <c r="Q89" s="8" t="s">
        <v>108</v>
      </c>
      <c r="R89" s="8"/>
      <c r="S89" s="223">
        <f>VLOOKUP((S87),($S$23:$U$82),3,0)</f>
        <v>9</v>
      </c>
      <c r="T89" s="8"/>
    </row>
    <row r="90" spans="17:20" ht="12.75">
      <c r="Q90" s="8" t="s">
        <v>109</v>
      </c>
      <c r="R90" s="8"/>
      <c r="S90" s="274">
        <f>IF(ISERROR(SUM($T$23:$T$82)/SUM($U$23:$U$82)),"",(SUM($T$23:$T$82)-S88)/(SUM($U$23:$U$82)-S89))</f>
        <v>7.288135593220339</v>
      </c>
      <c r="T90" s="8"/>
    </row>
    <row r="91" spans="17:21" ht="12.75">
      <c r="Q91" s="222" t="s">
        <v>110</v>
      </c>
      <c r="R91" s="222"/>
      <c r="S91" s="222" t="str">
        <f>INDEX('[1]liste reference'!$A$8:$A$904,$T$91)</f>
        <v>MYRVER</v>
      </c>
      <c r="T91" s="8">
        <f>IF(ISERROR(MATCH($S$93,'[1]liste reference'!$A$8:$A$904,0)),MATCH($S$93,'[1]liste reference'!$B$8:$B$904,0),(MATCH($S$93,'[1]liste reference'!$A$8:$A$904,0)))</f>
        <v>375</v>
      </c>
      <c r="U91" s="263"/>
    </row>
    <row r="92" spans="17:20" ht="12.75">
      <c r="Q92" s="8" t="s">
        <v>111</v>
      </c>
      <c r="R92" s="8"/>
      <c r="S92" s="8">
        <f>MATCH(S87,$S$23:$S$82,0)</f>
        <v>11</v>
      </c>
      <c r="T92" s="8"/>
    </row>
    <row r="93" spans="17:20" ht="12.75">
      <c r="Q93" s="222" t="s">
        <v>112</v>
      </c>
      <c r="R93" s="8"/>
      <c r="S93" s="222" t="str">
        <f>INDEX($A$23:$A$82,$S$92)</f>
        <v>MYRVER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2014-03-11T09:20:00Z</dcterms:created>
  <dcterms:modified xsi:type="dcterms:W3CDTF">2014-03-11T09:20:07Z</dcterms:modified>
  <cp:category/>
  <cp:version/>
  <cp:contentType/>
  <cp:contentStatus/>
</cp:coreProperties>
</file>