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13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<sst xmlns="http://schemas.openxmlformats.org/spreadsheetml/2006/main" count="208" uniqueCount="85">
  <si>
    <t>Relevés floristiques aquatiques - IBMR</t>
  </si>
  <si>
    <t>Formulaire modèle GIS Macrophytes v_2.6 - février 2012</t>
  </si>
  <si>
    <t>SAGE</t>
  </si>
  <si>
    <t>L.BOURGOIN S.RENAHY</t>
  </si>
  <si>
    <t>conforme AFNOR T90-395 oct. 2003</t>
  </si>
  <si>
    <t>VAREZE</t>
  </si>
  <si>
    <t>COUR ET BUIS</t>
  </si>
  <si>
    <t>06820073</t>
  </si>
  <si>
    <t>AEMRC</t>
  </si>
  <si>
    <t>Résultats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</si>
  <si>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</si>
  <si>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</si>
  <si>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</si>
  <si>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</si>
  <si>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</si>
  <si>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</si>
  <si>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</si>
  <si>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</si>
  <si>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</si>
  <si>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très élevé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</si>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</sst>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4" borderId="32" xfId="0" applyNumberFormat="1" applyFont="1" applyFill="1" applyBorder="1" applyAlignment="1" applyProtection="1">
      <alignment horizontal="right" vertical="top"/>
      <protection hidden="1"/>
    </xf>
    <xf numFmtId="2" fontId="12" fillId="34" borderId="33" xfId="0" applyNumberFormat="1" applyFont="1" applyFill="1" applyBorder="1" applyAlignment="1" applyProtection="1">
      <alignment horizontal="left" vertical="top"/>
      <protection hidden="1"/>
    </xf>
    <xf numFmtId="2" fontId="13" fillId="39" borderId="24" xfId="0" applyNumberFormat="1" applyFont="1" applyFill="1" applyBorder="1" applyAlignment="1" applyProtection="1">
      <alignment horizontal="left" vertical="top"/>
      <protection hidden="1"/>
    </xf>
    <xf numFmtId="2" fontId="0" fillId="39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9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VARCO_26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/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10</v>
      </c>
      <c r="B5" s="43" t="s">
        <v>11</v>
      </c>
      <c r="C5" s="44" t="s">
        <v>12</v>
      </c>
      <c r="D5" s="45"/>
      <c r="E5" s="45"/>
      <c r="F5" s="46" t="s">
        <v>13</v>
      </c>
      <c r="G5" s="47"/>
      <c r="H5" s="45"/>
      <c r="I5" s="48"/>
      <c r="J5" s="49"/>
      <c r="K5" s="50" t="s">
        <v>14</v>
      </c>
      <c r="L5" s="51">
        <v>6</v>
      </c>
      <c r="M5" s="52"/>
      <c r="N5" s="53"/>
      <c r="O5" s="54"/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15</v>
      </c>
      <c r="B6" s="56" t="s">
        <v>16</v>
      </c>
      <c r="C6" s="56" t="s">
        <v>17</v>
      </c>
      <c r="D6" s="45"/>
      <c r="E6" s="45"/>
      <c r="F6" s="46"/>
      <c r="G6" s="47"/>
      <c r="H6" s="45"/>
      <c r="I6" s="57" t="s">
        <v>18</v>
      </c>
      <c r="J6" s="58"/>
      <c r="K6" s="59"/>
      <c r="L6" s="60" t="s">
        <v>19</v>
      </c>
      <c r="M6" s="61"/>
      <c r="N6" s="263"/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20</v>
      </c>
      <c r="B7" s="64">
        <v>80</v>
      </c>
      <c r="C7" s="65">
        <v>20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21</v>
      </c>
      <c r="O7" s="74" t="s">
        <v>22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23</v>
      </c>
      <c r="B8" s="265"/>
      <c r="C8" s="265"/>
      <c r="D8" s="66"/>
      <c r="E8" s="66"/>
      <c r="F8" s="76" t="s">
        <v>24</v>
      </c>
      <c r="G8" s="77"/>
      <c r="H8" s="78"/>
      <c r="I8" s="69"/>
      <c r="J8" s="70"/>
      <c r="K8" s="71"/>
      <c r="L8" s="72"/>
      <c r="M8" s="79" t="s">
        <v>25</v>
      </c>
      <c r="N8" s="80">
        <f>AVERAGE(I23:I82)</f>
        <v>6</v>
      </c>
      <c r="O8" s="80">
        <f>AVERAGE(J23:J82)</f>
        <v>1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26</v>
      </c>
      <c r="B9" s="82">
        <v>0.01</v>
      </c>
      <c r="C9" s="83"/>
      <c r="D9" s="84"/>
      <c r="E9" s="84"/>
      <c r="F9" s="85">
        <f aca="true" t="shared" si="0" ref="F9:F15">($B9*$B$7+$C9*$C$7)/100</f>
        <v>0.008</v>
      </c>
      <c r="G9" s="86"/>
      <c r="H9" s="87"/>
      <c r="I9" s="88"/>
      <c r="J9" s="89"/>
      <c r="K9" s="71"/>
      <c r="L9" s="90"/>
      <c r="M9" s="79" t="s">
        <v>27</v>
      </c>
      <c r="N9" s="80" t="e">
        <f>STDEV(I23:I82)</f>
        <v>#DIV/0!</v>
      </c>
      <c r="O9" s="80" t="e">
        <f>STDEV(J23:J82)</f>
        <v>#DIV/0!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28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29</v>
      </c>
      <c r="K10" s="99"/>
      <c r="L10" s="100"/>
      <c r="M10" s="101" t="s">
        <v>30</v>
      </c>
      <c r="N10" s="102">
        <f>MIN(I23:I82)</f>
        <v>6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31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32</v>
      </c>
      <c r="J11" s="267"/>
      <c r="K11" s="110">
        <f>COUNTIF($G$23:$G$82,"=HET")</f>
        <v>0</v>
      </c>
      <c r="L11" s="111"/>
      <c r="M11" s="101" t="s">
        <v>33</v>
      </c>
      <c r="N11" s="102">
        <f>MAX(I23:I82)</f>
        <v>6</v>
      </c>
      <c r="O11" s="102">
        <f>MAX(J23:J82)</f>
        <v>1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34</v>
      </c>
      <c r="B12" s="113">
        <v>0.01</v>
      </c>
      <c r="C12" s="114"/>
      <c r="D12" s="107"/>
      <c r="E12" s="107"/>
      <c r="F12" s="108">
        <f t="shared" si="0"/>
        <v>0.008</v>
      </c>
      <c r="G12" s="115"/>
      <c r="H12" s="66"/>
      <c r="I12" s="268" t="s">
        <v>35</v>
      </c>
      <c r="J12" s="259"/>
      <c r="K12" s="110">
        <f>COUNTIF($G$23:$G$82,"=ALG")</f>
        <v>1</v>
      </c>
      <c r="L12" s="116"/>
      <c r="M12" s="117"/>
      <c r="N12" s="118" t="s">
        <v>29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36</v>
      </c>
      <c r="B13" s="113"/>
      <c r="C13" s="114"/>
      <c r="D13" s="107"/>
      <c r="E13" s="107"/>
      <c r="F13" s="108">
        <f t="shared" si="0"/>
        <v>0</v>
      </c>
      <c r="G13" s="115"/>
      <c r="H13" s="66"/>
      <c r="I13" s="258" t="s">
        <v>37</v>
      </c>
      <c r="J13" s="259"/>
      <c r="K13" s="110">
        <f>COUNTIF($G$23:$G$82,"=BRm")+COUNTIF($G$23:$G$82,"=BRh")</f>
        <v>0</v>
      </c>
      <c r="L13" s="111"/>
      <c r="M13" s="121" t="s">
        <v>38</v>
      </c>
      <c r="N13" s="122">
        <f>COUNTIF(F23:F82,"&gt;0")</f>
        <v>1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39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40</v>
      </c>
      <c r="J14" s="259"/>
      <c r="K14" s="110">
        <f>COUNTIF($G$23:$G$82,"=PTE")+COUNTIF($G$23:$G$82,"=LIC")</f>
        <v>0</v>
      </c>
      <c r="L14" s="111"/>
      <c r="M14" s="125" t="s">
        <v>41</v>
      </c>
      <c r="N14" s="126">
        <f>COUNTIF($I$23:$I$82,"&gt;-1")</f>
        <v>1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42</v>
      </c>
      <c r="B15" s="129"/>
      <c r="C15" s="130"/>
      <c r="D15" s="107"/>
      <c r="E15" s="107"/>
      <c r="F15" s="108">
        <f t="shared" si="0"/>
        <v>0</v>
      </c>
      <c r="G15" s="115"/>
      <c r="H15" s="66"/>
      <c r="I15" s="258" t="s">
        <v>43</v>
      </c>
      <c r="J15" s="259"/>
      <c r="K15" s="110">
        <f>(COUNTIF($G$23:$G$82,"=PHy"))+(COUNTIF($G$23:$G$82,"=PHe"))+(COUNTIF($G$23:$G$82,"=PHg"))+(COUNTIF($G$23:$G$82,"=PHx"))</f>
        <v>0</v>
      </c>
      <c r="L15" s="111"/>
      <c r="M15" s="131" t="s">
        <v>44</v>
      </c>
      <c r="N15" s="132">
        <f>COUNTIF(J23:J82,"=1")</f>
        <v>1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45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46</v>
      </c>
      <c r="N16" s="132">
        <f>COUNTIF(J23:J82,"=2")</f>
        <v>0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47</v>
      </c>
      <c r="B17" s="113">
        <v>0.01</v>
      </c>
      <c r="C17" s="114"/>
      <c r="D17" s="107"/>
      <c r="E17" s="107"/>
      <c r="F17" s="138"/>
      <c r="G17" s="108">
        <f>($B17*$B$7+$C17*$C$7)/100</f>
        <v>0.008</v>
      </c>
      <c r="H17" s="66"/>
      <c r="I17" s="258"/>
      <c r="J17" s="259"/>
      <c r="K17" s="137"/>
      <c r="L17" s="111"/>
      <c r="M17" s="131" t="s">
        <v>48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49</v>
      </c>
      <c r="B18" s="141"/>
      <c r="C18" s="142"/>
      <c r="D18" s="107"/>
      <c r="E18" s="143" t="s">
        <v>50</v>
      </c>
      <c r="F18" s="138"/>
      <c r="G18" s="108">
        <f>($B18*$B$7+$C18*$C$7)/100</f>
        <v>0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51</v>
      </c>
      <c r="W18" s="146" t="s">
        <v>51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0.008</v>
      </c>
      <c r="G19" s="152">
        <f>SUM(G16:G18)</f>
        <v>0.008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51</v>
      </c>
      <c r="W19" s="146" t="s">
        <v>51</v>
      </c>
    </row>
    <row r="20" spans="1:23" ht="12.75">
      <c r="A20" s="160" t="s">
        <v>52</v>
      </c>
      <c r="B20" s="161">
        <f>SUM(B23:B82)</f>
        <v>0.01</v>
      </c>
      <c r="C20" s="162">
        <f>SUM(C23:C82)</f>
        <v>0</v>
      </c>
      <c r="D20" s="163"/>
      <c r="E20" s="164" t="s">
        <v>50</v>
      </c>
      <c r="F20" s="165">
        <f>($B20*$B$7+$C20*$C$7)/100</f>
        <v>0.008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53</v>
      </c>
      <c r="R20" s="8"/>
      <c r="S20" s="8"/>
      <c r="T20" s="8"/>
      <c r="U20" s="8"/>
      <c r="V20" s="8" t="s">
        <v>51</v>
      </c>
      <c r="W20" s="146" t="s">
        <v>51</v>
      </c>
    </row>
    <row r="21" spans="1:23" ht="12.75">
      <c r="A21" s="174" t="s">
        <v>54</v>
      </c>
      <c r="B21" s="175">
        <f>B20*B7/100</f>
        <v>0.008</v>
      </c>
      <c r="C21" s="175">
        <f>C20*C7/100</f>
        <v>0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0.008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55</v>
      </c>
      <c r="R21" s="8"/>
      <c r="S21" s="8"/>
      <c r="T21" s="8"/>
      <c r="U21" s="8"/>
      <c r="V21" s="8" t="s">
        <v>51</v>
      </c>
      <c r="W21" s="146" t="s">
        <v>51</v>
      </c>
    </row>
    <row r="22" spans="1:29" ht="12.75">
      <c r="A22" s="185" t="s">
        <v>56</v>
      </c>
      <c r="B22" s="186" t="s">
        <v>57</v>
      </c>
      <c r="C22" s="187" t="s">
        <v>57</v>
      </c>
      <c r="D22" s="134"/>
      <c r="E22" s="134"/>
      <c r="F22" s="188" t="s">
        <v>58</v>
      </c>
      <c r="G22" s="189" t="s">
        <v>59</v>
      </c>
      <c r="H22" s="134"/>
      <c r="I22" s="190" t="s">
        <v>60</v>
      </c>
      <c r="J22" s="190" t="s">
        <v>61</v>
      </c>
      <c r="K22" s="260" t="s">
        <v>62</v>
      </c>
      <c r="L22" s="260"/>
      <c r="M22" s="260"/>
      <c r="N22" s="260"/>
      <c r="O22" s="261"/>
      <c r="P22" s="191" t="s">
        <v>63</v>
      </c>
      <c r="Q22" s="192" t="s">
        <v>64</v>
      </c>
      <c r="R22" s="193" t="s">
        <v>65</v>
      </c>
      <c r="S22" s="194" t="s">
        <v>66</v>
      </c>
      <c r="T22" s="195" t="s">
        <v>67</v>
      </c>
      <c r="U22" s="196" t="s">
        <v>68</v>
      </c>
      <c r="V22" s="194" t="s">
        <v>69</v>
      </c>
      <c r="Y22" s="8" t="s">
        <v>70</v>
      </c>
      <c r="Z22" s="8" t="s">
        <v>71</v>
      </c>
      <c r="AA22" s="197" t="s">
        <v>72</v>
      </c>
      <c r="AB22" s="197" t="s">
        <v>73</v>
      </c>
      <c r="AC22" s="198" t="s">
        <v>74</v>
      </c>
    </row>
    <row r="23" spans="1:55" ht="12.75">
      <c r="A23" s="199" t="s">
        <v>75</v>
      </c>
      <c r="B23" s="200">
        <v>0.01</v>
      </c>
      <c r="C23" s="201"/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0.008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0.008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6</v>
      </c>
      <c r="T23" s="212">
        <f aca="true" t="shared" si="6" ref="T23:T82">IF(ISERROR(R23*I23*J23),0,R23*I23*J23)</f>
        <v>6</v>
      </c>
      <c r="U23" s="212">
        <f aca="true" t="shared" si="7" ref="U23:U82">IF(ISERROR(R23*J23),0,R23*J23)</f>
        <v>1</v>
      </c>
      <c r="V23" s="213">
        <v>1</v>
      </c>
      <c r="W23" s="214" t="s">
        <v>51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51</v>
      </c>
      <c r="B24" s="219"/>
      <c r="C24" s="220"/>
      <c r="D24" s="221">
        <f>IF(ISERROR(VLOOKUP($A24,'[1]liste reference'!$A$7:$D$892,2,0)),IF(ISERROR(VLOOKUP($A24,'[1]liste reference'!$B$7:$D$892,1,0)),"",VLOOKUP($A24,'[1]liste reference'!$B$7:$D$892,1,0)),VLOOKUP($A24,'[1]liste reference'!$A$7:$D$892,2,0))</f>
      </c>
      <c r="E24" s="221">
        <f>IF(D24="",,VLOOKUP(D24,D$22:D23,1,0))</f>
        <v>0</v>
      </c>
      <c r="F24" s="222">
        <f t="shared" si="1"/>
        <v>0</v>
      </c>
      <c r="G24" s="223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</c>
      <c r="H24" s="205" t="str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x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</c>
      <c r="K24" s="208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</c>
      <c r="Q24" s="211">
        <f t="shared" si="3"/>
      </c>
      <c r="R24" s="212">
        <f t="shared" si="4"/>
      </c>
      <c r="S24" s="212">
        <f t="shared" si="5"/>
        <v>0</v>
      </c>
      <c r="T24" s="212">
        <f t="shared" si="6"/>
        <v>0</v>
      </c>
      <c r="U24" s="226">
        <f t="shared" si="7"/>
        <v>0</v>
      </c>
      <c r="V24" s="213">
        <v>0</v>
      </c>
      <c r="W24" s="227" t="s">
        <v>51</v>
      </c>
      <c r="Y24" s="215">
        <f>IF(A24="new.cod","NEWCOD",IF(AND((Z24=""),ISTEXT(A24)),A24,IF(Z24="","",INDEX('[1]liste reference'!$A$7:$A$892,Z24))))</f>
      </c>
      <c r="Z24" s="8">
        <f>IF(ISERROR(MATCH(A24,'[1]liste reference'!$A$7:$A$892,0)),IF(ISERROR(MATCH(A24,'[1]liste reference'!$B$7:$B$892,0)),"",(MATCH(A24,'[1]liste reference'!$B$7:$B$892,0))),(MATCH(A24,'[1]liste reference'!$A$7:$A$892,0)))</f>
      </c>
      <c r="AA24" s="216"/>
      <c r="AB24" s="217"/>
      <c r="AC24" s="217"/>
      <c r="BC24" s="8">
        <f t="shared" si="8"/>
      </c>
    </row>
    <row r="25" spans="1:55" ht="12.75">
      <c r="A25" s="218" t="s">
        <v>51</v>
      </c>
      <c r="B25" s="219"/>
      <c r="C25" s="220"/>
      <c r="D25" s="221">
        <f>IF(ISERROR(VLOOKUP($A25,'[1]liste reference'!$A$7:$D$892,2,0)),IF(ISERROR(VLOOKUP($A25,'[1]liste reference'!$B$7:$D$892,1,0)),"",VLOOKUP($A25,'[1]liste reference'!$B$7:$D$892,1,0)),VLOOKUP($A25,'[1]liste reference'!$A$7:$D$892,2,0))</f>
      </c>
      <c r="E25" s="221">
        <f>IF(D25="",,VLOOKUP(D25,D$22:D24,1,0))</f>
        <v>0</v>
      </c>
      <c r="F25" s="222">
        <f t="shared" si="1"/>
        <v>0</v>
      </c>
      <c r="G25" s="223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</c>
      <c r="H25" s="205" t="str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x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</c>
      <c r="K25" s="208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11">
        <f t="shared" si="3"/>
      </c>
      <c r="R25" s="212">
        <f t="shared" si="4"/>
      </c>
      <c r="S25" s="212">
        <f t="shared" si="5"/>
        <v>0</v>
      </c>
      <c r="T25" s="212">
        <f t="shared" si="6"/>
        <v>0</v>
      </c>
      <c r="U25" s="226">
        <f t="shared" si="7"/>
        <v>0</v>
      </c>
      <c r="V25" s="213">
        <v>0</v>
      </c>
      <c r="W25" s="214" t="s">
        <v>51</v>
      </c>
      <c r="Y25" s="215">
        <f>IF(A25="new.cod","NEWCOD",IF(AND((Z25=""),ISTEXT(A25)),A25,IF(Z25="","",INDEX('[1]liste reference'!$A$7:$A$892,Z25))))</f>
      </c>
      <c r="Z25" s="8">
        <f>IF(ISERROR(MATCH(A25,'[1]liste reference'!$A$7:$A$892,0)),IF(ISERROR(MATCH(A25,'[1]liste reference'!$B$7:$B$892,0)),"",(MATCH(A25,'[1]liste reference'!$B$7:$B$892,0))),(MATCH(A25,'[1]liste reference'!$A$7:$A$892,0)))</f>
      </c>
      <c r="AA25" s="216"/>
      <c r="AB25" s="217"/>
      <c r="AC25" s="217"/>
      <c r="BC25" s="8">
        <f t="shared" si="8"/>
      </c>
    </row>
    <row r="26" spans="1:55" ht="12.75">
      <c r="A26" s="218" t="s">
        <v>51</v>
      </c>
      <c r="B26" s="219"/>
      <c r="C26" s="220"/>
      <c r="D26" s="221">
        <f>IF(ISERROR(VLOOKUP($A26,'[1]liste reference'!$A$7:$D$892,2,0)),IF(ISERROR(VLOOKUP($A26,'[1]liste reference'!$B$7:$D$892,1,0)),"",VLOOKUP($A26,'[1]liste reference'!$B$7:$D$892,1,0)),VLOOKUP($A26,'[1]liste reference'!$A$7:$D$892,2,0))</f>
      </c>
      <c r="E26" s="221">
        <f>IF(D26="",,VLOOKUP(D26,D$22:D25,1,0))</f>
        <v>0</v>
      </c>
      <c r="F26" s="222">
        <f t="shared" si="1"/>
        <v>0</v>
      </c>
      <c r="G26" s="223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</c>
      <c r="H26" s="205" t="str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x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</c>
      <c r="K26" s="208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11">
        <f t="shared" si="3"/>
      </c>
      <c r="R26" s="212">
        <f t="shared" si="4"/>
      </c>
      <c r="S26" s="212">
        <f t="shared" si="5"/>
        <v>0</v>
      </c>
      <c r="T26" s="212">
        <f t="shared" si="6"/>
        <v>0</v>
      </c>
      <c r="U26" s="226">
        <f t="shared" si="7"/>
        <v>0</v>
      </c>
      <c r="V26" s="213">
        <v>0</v>
      </c>
      <c r="W26" s="214" t="s">
        <v>51</v>
      </c>
      <c r="Y26" s="215">
        <f>IF(A26="new.cod","NEWCOD",IF(AND((Z26=""),ISTEXT(A26)),A26,IF(Z26="","",INDEX('[1]liste reference'!$A$7:$A$892,Z26))))</f>
      </c>
      <c r="Z26" s="8">
        <f>IF(ISERROR(MATCH(A26,'[1]liste reference'!$A$7:$A$892,0)),IF(ISERROR(MATCH(A26,'[1]liste reference'!$B$7:$B$892,0)),"",(MATCH(A26,'[1]liste reference'!$B$7:$B$892,0))),(MATCH(A26,'[1]liste reference'!$A$7:$A$892,0)))</f>
      </c>
      <c r="AA26" s="216"/>
      <c r="AB26" s="217"/>
      <c r="AC26" s="217"/>
      <c r="BC26" s="8">
        <f t="shared" si="8"/>
      </c>
    </row>
    <row r="27" spans="1:55" ht="12.75">
      <c r="A27" s="218" t="s">
        <v>51</v>
      </c>
      <c r="B27" s="219"/>
      <c r="C27" s="220"/>
      <c r="D27" s="221">
        <f>IF(ISERROR(VLOOKUP($A27,'[1]liste reference'!$A$7:$D$892,2,0)),IF(ISERROR(VLOOKUP($A27,'[1]liste reference'!$B$7:$D$892,1,0)),"",VLOOKUP($A27,'[1]liste reference'!$B$7:$D$892,1,0)),VLOOKUP($A27,'[1]liste reference'!$A$7:$D$892,2,0))</f>
      </c>
      <c r="E27" s="221">
        <f>IF(D27="",,VLOOKUP(D27,D$22:D26,1,0))</f>
        <v>0</v>
      </c>
      <c r="F27" s="222">
        <f t="shared" si="1"/>
        <v>0</v>
      </c>
      <c r="G27" s="223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</c>
      <c r="H27" s="205" t="str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x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</c>
      <c r="K27" s="208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11">
        <f t="shared" si="3"/>
      </c>
      <c r="R27" s="212">
        <f t="shared" si="4"/>
      </c>
      <c r="S27" s="212">
        <f t="shared" si="5"/>
        <v>0</v>
      </c>
      <c r="T27" s="212">
        <f t="shared" si="6"/>
        <v>0</v>
      </c>
      <c r="U27" s="226">
        <f t="shared" si="7"/>
        <v>0</v>
      </c>
      <c r="V27" s="213">
        <v>0</v>
      </c>
      <c r="W27" s="214" t="s">
        <v>51</v>
      </c>
      <c r="Y27" s="215">
        <f>IF(A27="new.cod","NEWCOD",IF(AND((Z27=""),ISTEXT(A27)),A27,IF(Z27="","",INDEX('[1]liste reference'!$A$7:$A$892,Z27))))</f>
      </c>
      <c r="Z27" s="8">
        <f>IF(ISERROR(MATCH(A27,'[1]liste reference'!$A$7:$A$892,0)),IF(ISERROR(MATCH(A27,'[1]liste reference'!$B$7:$B$892,0)),"",(MATCH(A27,'[1]liste reference'!$B$7:$B$892,0))),(MATCH(A27,'[1]liste reference'!$A$7:$A$892,0)))</f>
      </c>
      <c r="AA27" s="216"/>
      <c r="AB27" s="217"/>
      <c r="AC27" s="217"/>
      <c r="BC27" s="8">
        <f t="shared" si="8"/>
      </c>
    </row>
    <row r="28" spans="1:55" ht="12.75">
      <c r="A28" s="218" t="s">
        <v>51</v>
      </c>
      <c r="B28" s="219"/>
      <c r="C28" s="220"/>
      <c r="D28" s="221">
        <f>IF(ISERROR(VLOOKUP($A28,'[1]liste reference'!$A$7:$D$892,2,0)),IF(ISERROR(VLOOKUP($A28,'[1]liste reference'!$B$7:$D$892,1,0)),"",VLOOKUP($A28,'[1]liste reference'!$B$7:$D$892,1,0)),VLOOKUP($A28,'[1]liste reference'!$A$7:$D$892,2,0))</f>
      </c>
      <c r="E28" s="221">
        <f>IF(D28="",,VLOOKUP(D28,D$22:D27,1,0))</f>
        <v>0</v>
      </c>
      <c r="F28" s="222">
        <f t="shared" si="1"/>
        <v>0</v>
      </c>
      <c r="G28" s="223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</c>
      <c r="H28" s="205" t="str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x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</c>
      <c r="K28" s="208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1">
        <f t="shared" si="3"/>
      </c>
      <c r="R28" s="212">
        <f t="shared" si="4"/>
      </c>
      <c r="S28" s="212">
        <f t="shared" si="5"/>
        <v>0</v>
      </c>
      <c r="T28" s="212">
        <f t="shared" si="6"/>
        <v>0</v>
      </c>
      <c r="U28" s="226">
        <f t="shared" si="7"/>
        <v>0</v>
      </c>
      <c r="V28" s="213">
        <v>0</v>
      </c>
      <c r="W28" s="214" t="s">
        <v>51</v>
      </c>
      <c r="Y28" s="215">
        <f>IF(A28="new.cod","NEWCOD",IF(AND((Z28=""),ISTEXT(A28)),A28,IF(Z28="","",INDEX('[1]liste reference'!$A$7:$A$892,Z28))))</f>
      </c>
      <c r="Z28" s="8">
        <f>IF(ISERROR(MATCH(A28,'[1]liste reference'!$A$7:$A$892,0)),IF(ISERROR(MATCH(A28,'[1]liste reference'!$B$7:$B$892,0)),"",(MATCH(A28,'[1]liste reference'!$B$7:$B$892,0))),(MATCH(A28,'[1]liste reference'!$A$7:$A$892,0)))</f>
      </c>
      <c r="AA28" s="216"/>
      <c r="AB28" s="217"/>
      <c r="AC28" s="217"/>
      <c r="BC28" s="8">
        <f t="shared" si="8"/>
      </c>
    </row>
    <row r="29" spans="1:55" ht="12.75">
      <c r="A29" s="218" t="s">
        <v>51</v>
      </c>
      <c r="B29" s="219"/>
      <c r="C29" s="220"/>
      <c r="D29" s="221">
        <f>IF(ISERROR(VLOOKUP($A29,'[1]liste reference'!$A$7:$D$892,2,0)),IF(ISERROR(VLOOKUP($A29,'[1]liste reference'!$B$7:$D$892,1,0)),"",VLOOKUP($A29,'[1]liste reference'!$B$7:$D$892,1,0)),VLOOKUP($A29,'[1]liste reference'!$A$7:$D$892,2,0))</f>
      </c>
      <c r="E29" s="221">
        <f>IF(D29="",,VLOOKUP(D29,D$22:D28,1,0))</f>
        <v>0</v>
      </c>
      <c r="F29" s="222">
        <f t="shared" si="1"/>
        <v>0</v>
      </c>
      <c r="G29" s="223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</c>
      <c r="H29" s="205" t="str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x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</c>
      <c r="K29" s="208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3"/>
      </c>
      <c r="R29" s="212">
        <f t="shared" si="4"/>
      </c>
      <c r="S29" s="212">
        <f t="shared" si="5"/>
        <v>0</v>
      </c>
      <c r="T29" s="212">
        <f t="shared" si="6"/>
        <v>0</v>
      </c>
      <c r="U29" s="226">
        <f t="shared" si="7"/>
        <v>0</v>
      </c>
      <c r="V29" s="213">
        <v>0</v>
      </c>
      <c r="W29" s="214" t="s">
        <v>51</v>
      </c>
      <c r="Y29" s="215">
        <f>IF(A29="new.cod","NEWCOD",IF(AND((Z29=""),ISTEXT(A29)),A29,IF(Z29="","",INDEX('[1]liste reference'!$A$7:$A$892,Z29))))</f>
      </c>
      <c r="Z29" s="8">
        <f>IF(ISERROR(MATCH(A29,'[1]liste reference'!$A$7:$A$892,0)),IF(ISERROR(MATCH(A29,'[1]liste reference'!$B$7:$B$892,0)),"",(MATCH(A29,'[1]liste reference'!$B$7:$B$892,0))),(MATCH(A29,'[1]liste reference'!$A$7:$A$892,0)))</f>
      </c>
      <c r="AA29" s="216"/>
      <c r="AB29" s="217"/>
      <c r="AC29" s="217"/>
      <c r="BC29" s="8">
        <f t="shared" si="8"/>
      </c>
    </row>
    <row r="30" spans="1:55" ht="12.75">
      <c r="A30" s="218" t="s">
        <v>51</v>
      </c>
      <c r="B30" s="219"/>
      <c r="C30" s="220"/>
      <c r="D30" s="221">
        <f>IF(ISERROR(VLOOKUP($A30,'[1]liste reference'!$A$7:$D$892,2,0)),IF(ISERROR(VLOOKUP($A30,'[1]liste reference'!$B$7:$D$892,1,0)),"",VLOOKUP($A30,'[1]liste reference'!$B$7:$D$892,1,0)),VLOOKUP($A30,'[1]liste reference'!$A$7:$D$892,2,0))</f>
      </c>
      <c r="E30" s="221">
        <f>IF(D30="",,VLOOKUP(D30,D$22:D29,1,0))</f>
        <v>0</v>
      </c>
      <c r="F30" s="222">
        <f t="shared" si="1"/>
        <v>0</v>
      </c>
      <c r="G30" s="223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</c>
      <c r="H30" s="205" t="str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x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</c>
      <c r="K30" s="208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3"/>
      </c>
      <c r="R30" s="212">
        <f t="shared" si="4"/>
      </c>
      <c r="S30" s="212">
        <f t="shared" si="5"/>
        <v>0</v>
      </c>
      <c r="T30" s="212">
        <f t="shared" si="6"/>
        <v>0</v>
      </c>
      <c r="U30" s="226">
        <f t="shared" si="7"/>
        <v>0</v>
      </c>
      <c r="V30" s="213">
        <v>0</v>
      </c>
      <c r="W30" s="214" t="s">
        <v>51</v>
      </c>
      <c r="Y30" s="215">
        <f>IF(A30="new.cod","NEWCOD",IF(AND((Z30=""),ISTEXT(A30)),A30,IF(Z30="","",INDEX('[1]liste reference'!$A$7:$A$892,Z30))))</f>
      </c>
      <c r="Z30" s="8">
        <f>IF(ISERROR(MATCH(A30,'[1]liste reference'!$A$7:$A$892,0)),IF(ISERROR(MATCH(A30,'[1]liste reference'!$B$7:$B$892,0)),"",(MATCH(A30,'[1]liste reference'!$B$7:$B$892,0))),(MATCH(A30,'[1]liste reference'!$A$7:$A$892,0)))</f>
      </c>
      <c r="AA30" s="216"/>
      <c r="AB30" s="217"/>
      <c r="AC30" s="217"/>
      <c r="BC30" s="8">
        <f t="shared" si="8"/>
      </c>
    </row>
    <row r="31" spans="1:55" ht="12.75">
      <c r="A31" s="218" t="s">
        <v>51</v>
      </c>
      <c r="B31" s="219"/>
      <c r="C31" s="220"/>
      <c r="D31" s="221">
        <f>IF(ISERROR(VLOOKUP($A31,'[1]liste reference'!$A$7:$D$892,2,0)),IF(ISERROR(VLOOKUP($A31,'[1]liste reference'!$B$7:$D$892,1,0)),"",VLOOKUP($A31,'[1]liste reference'!$B$7:$D$892,1,0)),VLOOKUP($A31,'[1]liste reference'!$A$7:$D$892,2,0))</f>
      </c>
      <c r="E31" s="221">
        <f>IF(D31="",,VLOOKUP(D31,D$22:D30,1,0))</f>
        <v>0</v>
      </c>
      <c r="F31" s="222">
        <f t="shared" si="1"/>
        <v>0</v>
      </c>
      <c r="G31" s="223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</c>
      <c r="H31" s="205" t="str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x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</c>
      <c r="K31" s="208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3"/>
      </c>
      <c r="R31" s="212">
        <f t="shared" si="4"/>
      </c>
      <c r="S31" s="212">
        <f t="shared" si="5"/>
        <v>0</v>
      </c>
      <c r="T31" s="212">
        <f t="shared" si="6"/>
        <v>0</v>
      </c>
      <c r="U31" s="226">
        <f t="shared" si="7"/>
        <v>0</v>
      </c>
      <c r="V31" s="213">
        <v>0</v>
      </c>
      <c r="W31" s="214" t="s">
        <v>51</v>
      </c>
      <c r="Y31" s="215">
        <f>IF(A31="new.cod","NEWCOD",IF(AND((Z31=""),ISTEXT(A31)),A31,IF(Z31="","",INDEX('[1]liste reference'!$A$7:$A$892,Z31))))</f>
      </c>
      <c r="Z31" s="8">
        <f>IF(ISERROR(MATCH(A31,'[1]liste reference'!$A$7:$A$892,0)),IF(ISERROR(MATCH(A31,'[1]liste reference'!$B$7:$B$892,0)),"",(MATCH(A31,'[1]liste reference'!$B$7:$B$892,0))),(MATCH(A31,'[1]liste reference'!$A$7:$A$892,0)))</f>
      </c>
      <c r="AA31" s="216"/>
      <c r="AB31" s="217"/>
      <c r="AC31" s="217"/>
      <c r="BC31" s="8">
        <f t="shared" si="8"/>
      </c>
    </row>
    <row r="32" spans="1:55" ht="12.75">
      <c r="A32" s="218" t="s">
        <v>51</v>
      </c>
      <c r="B32" s="219"/>
      <c r="C32" s="220"/>
      <c r="D32" s="221">
        <f>IF(ISERROR(VLOOKUP($A32,'[1]liste reference'!$A$7:$D$892,2,0)),IF(ISERROR(VLOOKUP($A32,'[1]liste reference'!$B$7:$D$892,1,0)),"",VLOOKUP($A32,'[1]liste reference'!$B$7:$D$892,1,0)),VLOOKUP($A32,'[1]liste reference'!$A$7:$D$892,2,0))</f>
      </c>
      <c r="E32" s="221">
        <f>IF(D32="",,VLOOKUP(D32,D$22:D31,1,0))</f>
        <v>0</v>
      </c>
      <c r="F32" s="222">
        <f t="shared" si="1"/>
        <v>0</v>
      </c>
      <c r="G32" s="223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</c>
      <c r="H32" s="205" t="str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x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3"/>
      </c>
      <c r="R32" s="212">
        <f t="shared" si="4"/>
      </c>
      <c r="S32" s="212">
        <f t="shared" si="5"/>
        <v>0</v>
      </c>
      <c r="T32" s="212">
        <f t="shared" si="6"/>
        <v>0</v>
      </c>
      <c r="U32" s="226">
        <f t="shared" si="7"/>
        <v>0</v>
      </c>
      <c r="V32" s="213">
        <v>0</v>
      </c>
      <c r="W32" s="214" t="s">
        <v>51</v>
      </c>
      <c r="Y32" s="215">
        <f>IF(A32="new.cod","NEWCOD",IF(AND((Z32=""),ISTEXT(A32)),A32,IF(Z32="","",INDEX('[1]liste reference'!$A$7:$A$892,Z32))))</f>
      </c>
      <c r="Z32" s="8">
        <f>IF(ISERROR(MATCH(A32,'[1]liste reference'!$A$7:$A$892,0)),IF(ISERROR(MATCH(A32,'[1]liste reference'!$B$7:$B$892,0)),"",(MATCH(A32,'[1]liste reference'!$B$7:$B$892,0))),(MATCH(A32,'[1]liste reference'!$A$7:$A$892,0)))</f>
      </c>
      <c r="AA32" s="216"/>
      <c r="AB32" s="217"/>
      <c r="AC32" s="217"/>
      <c r="BC32" s="8">
        <f t="shared" si="8"/>
      </c>
    </row>
    <row r="33" spans="1:55" ht="12.75">
      <c r="A33" s="218" t="s">
        <v>51</v>
      </c>
      <c r="B33" s="219"/>
      <c r="C33" s="220"/>
      <c r="D33" s="221">
        <f>IF(ISERROR(VLOOKUP($A33,'[1]liste reference'!$A$7:$D$892,2,0)),IF(ISERROR(VLOOKUP($A33,'[1]liste reference'!$B$7:$D$892,1,0)),"",VLOOKUP($A33,'[1]liste reference'!$B$7:$D$892,1,0)),VLOOKUP($A33,'[1]liste reference'!$A$7:$D$892,2,0))</f>
      </c>
      <c r="E33" s="221">
        <f>IF(D33="",,VLOOKUP(D33,D$22:D32,1,0))</f>
        <v>0</v>
      </c>
      <c r="F33" s="222">
        <f t="shared" si="1"/>
        <v>0</v>
      </c>
      <c r="G33" s="223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</c>
      <c r="H33" s="205" t="str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x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3"/>
      </c>
      <c r="R33" s="212">
        <f t="shared" si="4"/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51</v>
      </c>
      <c r="Y33" s="215">
        <f>IF(A33="new.cod","NEWCOD",IF(AND((Z33=""),ISTEXT(A33)),A33,IF(Z33="","",INDEX('[1]liste reference'!$A$7:$A$892,Z33))))</f>
      </c>
      <c r="Z33" s="8">
        <f>IF(ISERROR(MATCH(A33,'[1]liste reference'!$A$7:$A$892,0)),IF(ISERROR(MATCH(A33,'[1]liste reference'!$B$7:$B$892,0)),"",(MATCH(A33,'[1]liste reference'!$B$7:$B$892,0))),(MATCH(A33,'[1]liste reference'!$A$7:$A$892,0)))</f>
      </c>
      <c r="AA33" s="216"/>
      <c r="AB33" s="217"/>
      <c r="AC33" s="217"/>
      <c r="BC33" s="8">
        <f t="shared" si="8"/>
      </c>
    </row>
    <row r="34" spans="1:55" ht="12.75">
      <c r="A34" s="218" t="s">
        <v>51</v>
      </c>
      <c r="B34" s="219"/>
      <c r="C34" s="220"/>
      <c r="D34" s="221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1">
        <f>IF(D34="",,VLOOKUP(D34,D$22:D33,1,0))</f>
        <v>0</v>
      </c>
      <c r="F34" s="228">
        <f t="shared" si="1"/>
        <v>0</v>
      </c>
      <c r="G34" s="223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51</v>
      </c>
      <c r="Y34" s="215">
        <f>IF(A34="new.cod","NEWCOD",IF(AND((Z34=""),ISTEXT(A34)),A34,IF(Z34="","",INDEX('[1]liste reference'!$A$7:$A$892,Z34))))</f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/>
      <c r="AC34" s="217"/>
      <c r="BC34" s="8">
        <f t="shared" si="8"/>
      </c>
    </row>
    <row r="35" spans="1:55" ht="12.75">
      <c r="A35" s="218" t="s">
        <v>51</v>
      </c>
      <c r="B35" s="219"/>
      <c r="C35" s="220"/>
      <c r="D35" s="221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1">
        <f>IF(D35="",,VLOOKUP(D35,D$22:D34,1,0))</f>
        <v>0</v>
      </c>
      <c r="F35" s="228">
        <f t="shared" si="1"/>
        <v>0</v>
      </c>
      <c r="G35" s="223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51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18" t="s">
        <v>51</v>
      </c>
      <c r="B36" s="219"/>
      <c r="C36" s="220"/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</v>
      </c>
      <c r="G36" s="223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51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18" t="s">
        <v>51</v>
      </c>
      <c r="B37" s="219"/>
      <c r="C37" s="220"/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</v>
      </c>
      <c r="G37" s="223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51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18" t="s">
        <v>51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51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51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51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51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51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51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51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51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51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51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51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51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51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51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51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51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51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51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51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51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51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51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51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51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51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51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51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51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51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51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51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51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51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51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51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51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51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51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51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51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51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51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51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51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51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51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51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51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51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51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51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51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51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51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51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51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51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51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51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51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51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51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51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51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51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51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51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51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51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51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51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51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51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51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51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51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51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51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51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51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51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51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51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76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VAREZE</v>
      </c>
      <c r="B84" s="248" t="str">
        <f>C3</f>
        <v>COUR ET BUIS</v>
      </c>
      <c r="C84" s="249">
        <f>A4</f>
        <v>41086</v>
      </c>
      <c r="D84" s="250">
        <f>IF(ISERROR(SUM($T$23:$T$82)/SUM($U$23:$U$82)),"",SUM($T$23:$T$82)/SUM($U$23:$U$82))</f>
        <v>6</v>
      </c>
      <c r="E84" s="251">
        <f>N13</f>
        <v>1</v>
      </c>
      <c r="F84" s="248">
        <f>N14</f>
        <v>1</v>
      </c>
      <c r="G84" s="248">
        <f>N15</f>
        <v>1</v>
      </c>
      <c r="H84" s="248">
        <f>N16</f>
        <v>0</v>
      </c>
      <c r="I84" s="248">
        <f>N17</f>
        <v>0</v>
      </c>
      <c r="J84" s="252">
        <f>N8</f>
        <v>6</v>
      </c>
      <c r="K84" s="250" t="e">
        <f>N9</f>
        <v>#DIV/0!</v>
      </c>
      <c r="L84" s="251">
        <f>N10</f>
        <v>6</v>
      </c>
      <c r="M84" s="251">
        <f>N11</f>
        <v>6</v>
      </c>
      <c r="N84" s="250">
        <f>O8</f>
        <v>1</v>
      </c>
      <c r="O84" s="250" t="e">
        <f>O9</f>
        <v>#DIV/0!</v>
      </c>
      <c r="P84" s="251">
        <f>O10</f>
        <v>1</v>
      </c>
      <c r="Q84" s="251">
        <f>O11</f>
        <v>1</v>
      </c>
      <c r="R84" s="251">
        <f>F21</f>
        <v>0.008</v>
      </c>
      <c r="S84" s="251">
        <f>K11</f>
        <v>0</v>
      </c>
      <c r="T84" s="251">
        <f>K12</f>
        <v>1</v>
      </c>
      <c r="U84" s="251">
        <f>K13</f>
        <v>0</v>
      </c>
      <c r="V84" s="253">
        <f>K14</f>
        <v>0</v>
      </c>
      <c r="W84" s="254">
        <f>K15</f>
        <v>0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77</v>
      </c>
      <c r="R86" s="8"/>
      <c r="S86" s="213"/>
      <c r="T86" s="8"/>
      <c r="U86" s="8"/>
      <c r="V86" s="8"/>
    </row>
    <row r="87" spans="16:22" ht="12.75" hidden="1">
      <c r="P87" s="8"/>
      <c r="Q87" s="8" t="s">
        <v>78</v>
      </c>
      <c r="R87" s="8"/>
      <c r="S87" s="213">
        <f>VLOOKUP(MAX($S$23:$S$82),($S$23:$U$82),1,0)</f>
        <v>6</v>
      </c>
      <c r="T87" s="8"/>
      <c r="U87" s="8"/>
      <c r="V87" s="8"/>
    </row>
    <row r="88" spans="16:22" ht="12.75" hidden="1">
      <c r="P88" s="8"/>
      <c r="Q88" s="8" t="s">
        <v>79</v>
      </c>
      <c r="R88" s="8"/>
      <c r="S88" s="213">
        <f>VLOOKUP((S87),($S$23:$U$82),2,0)</f>
        <v>6</v>
      </c>
      <c r="T88" s="8"/>
      <c r="U88" s="8"/>
      <c r="V88" s="8"/>
    </row>
    <row r="89" spans="17:20" ht="12.75">
      <c r="Q89" s="8" t="s">
        <v>80</v>
      </c>
      <c r="R89" s="8"/>
      <c r="S89" s="213">
        <f>VLOOKUP((S87),($S$23:$U$82),3,0)</f>
        <v>1</v>
      </c>
      <c r="T89" s="8"/>
    </row>
    <row r="90" spans="17:20" ht="12.75">
      <c r="Q90" s="8" t="s">
        <v>81</v>
      </c>
      <c r="R90" s="8"/>
      <c r="S90" s="257" t="e">
        <f>IF(ISERROR(SUM($T$23:$T$82)/SUM($U$23:$U$82)),"",(SUM($T$23:$T$82)-S88)/(SUM($U$23:$U$82)-S89))</f>
        <v>#DIV/0!</v>
      </c>
      <c r="T90" s="8"/>
    </row>
    <row r="91" spans="17:21" ht="12.75">
      <c r="Q91" s="212" t="s">
        <v>82</v>
      </c>
      <c r="R91" s="212"/>
      <c r="S91" s="212" t="str">
        <f>INDEX('[1]liste reference'!$A$7:$A$892,$T$91)</f>
        <v>CLASPX</v>
      </c>
      <c r="T91" s="8">
        <f>IF(ISERROR(MATCH($S$93,'[1]liste reference'!$A$7:$A$892,0)),MATCH($S$93,'[1]liste reference'!$B$7:$B$892,0),(MATCH($S$93,'[1]liste reference'!$A$7:$A$892,0)))</f>
        <v>182</v>
      </c>
      <c r="U91" s="246"/>
    </row>
    <row r="92" spans="17:20" ht="12.75">
      <c r="Q92" s="8" t="s">
        <v>83</v>
      </c>
      <c r="R92" s="8"/>
      <c r="S92" s="8">
        <f>MATCH(S87,$S$23:$S$82,0)</f>
        <v>1</v>
      </c>
      <c r="T92" s="8"/>
    </row>
    <row r="93" spans="17:20" ht="12.75">
      <c r="Q93" s="212" t="s">
        <v>84</v>
      </c>
      <c r="R93" s="8"/>
      <c r="S93" s="212" t="str">
        <f>INDEX($A$23:$A$82,$S$92)</f>
        <v>CLASPX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2012-12-14T08:42:00Z</dcterms:created>
  <dcterms:modified xsi:type="dcterms:W3CDTF">2013-10-03T12:23:13Z</dcterms:modified>
  <cp:category/>
  <cp:version/>
  <cp:contentType/>
  <cp:contentStatus/>
</cp:coreProperties>
</file>