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<sst xmlns="http://schemas.openxmlformats.org/spreadsheetml/2006/main" count="217" uniqueCount="94">
  <si>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</si>
  <si>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</si>
  <si>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 ENVIRONNEMENT</t>
  </si>
  <si>
    <t>L. ISEBE / P. VAUDAUX</t>
  </si>
  <si>
    <t>conforme AFNOR T90-395 oct. 2003</t>
  </si>
  <si>
    <t>GIERS</t>
  </si>
  <si>
    <t>GIERS A LA VAL EN GIERS</t>
  </si>
  <si>
    <t>06820138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</si>
  <si>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</si>
  <si>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</si>
  <si>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</si>
  <si>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</si>
  <si>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</si>
  <si>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</si>
  <si>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</si>
  <si>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</si>
  <si>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</si>
  <si>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</si>
  <si>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</si>
  <si>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PLAT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</si>
  <si>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</si>
  <si>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</si>
  <si>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</si>
  <si>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</si>
  <si>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</si>
  <si>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</si>
  <si>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</si>
  <si>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</si>
  <si>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</si>
  <si>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</si>
  <si>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</si>
  <si>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</si>
  <si>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</si>
  <si>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</si>
  <si>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</si>
  <si>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</si>
  <si>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</si>
  <si>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</si>
  <si>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</si>
  <si>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</si>
  <si>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</si>
  <si>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</si>
  <si>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</si>
  <si>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</si>
  <si>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</si>
  <si>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</si>
  <si>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</si>
  <si>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</si>
  <si>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</si>
  <si>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</si>
  <si>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</si>
  <si>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</si>
  <si>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</si>
  <si>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</si>
  <si>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</si>
  <si>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</si>
  <si>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</si>
  <si>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</si>
  <si>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</si>
  <si>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</si>
  <si>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</si>
  <si>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</si>
  <si>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</si>
  <si>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</si>
  <si>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</si>
  <si>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</si>
  <si>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</si>
  <si>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</si>
  <si>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</si>
  <si>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</si>
  <si>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</si>
  <si>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</si>
  <si>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</si>
  <si>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</si>
  <si>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</si>
  <si>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</si>
  <si>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</si>
  <si>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</si>
  <si>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LEASPX</t>
  </si>
  <si>
    <t>PHOSPX</t>
  </si>
  <si>
    <t>BRARIV</t>
  </si>
  <si>
    <t>FONSQU</t>
  </si>
  <si>
    <t>HYGLUR</t>
  </si>
  <si>
    <t>RHYRIP</t>
  </si>
  <si>
    <t>MENXRO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</si>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</sst>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9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8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6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6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6" fillId="38" borderId="73" xfId="0" applyFont="1" applyFill="1" applyBorder="1" applyAlignment="1">
      <alignment horizontal="right"/>
    </xf>
    <xf numFmtId="0" fontId="29" fillId="39" borderId="51" xfId="52" applyFont="1" applyFill="1" applyBorder="1" applyAlignment="1" applyProtection="1">
      <alignment horizontal="right"/>
      <protection locked="0"/>
    </xf>
    <xf numFmtId="2" fontId="29" fillId="38" borderId="73" xfId="0" applyNumberFormat="1" applyFont="1" applyFill="1" applyBorder="1" applyAlignment="1" applyProtection="1">
      <alignment horizontal="center"/>
      <protection locked="0"/>
    </xf>
    <xf numFmtId="2" fontId="29" fillId="38" borderId="53" xfId="0" applyNumberFormat="1" applyFont="1" applyFill="1" applyBorder="1" applyAlignment="1" applyProtection="1">
      <alignment horizontal="center"/>
      <protection locked="0"/>
    </xf>
    <xf numFmtId="0" fontId="29" fillId="37" borderId="51" xfId="52" applyFont="1" applyFill="1" applyBorder="1" applyAlignment="1" applyProtection="1">
      <alignment horizontal="right"/>
      <protection locked="0"/>
    </xf>
    <xf numFmtId="0" fontId="30" fillId="42" borderId="51" xfId="52" applyFont="1" applyFill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/>
      <protection hidden="1"/>
    </xf>
    <xf numFmtId="0" fontId="29" fillId="43" borderId="51" xfId="52" applyFont="1" applyFill="1" applyBorder="1" applyAlignment="1" applyProtection="1">
      <alignment horizontal="right"/>
      <protection locked="0"/>
    </xf>
    <xf numFmtId="0" fontId="11" fillId="38" borderId="74" xfId="0" applyNumberFormat="1" applyFont="1" applyFill="1" applyBorder="1" applyAlignment="1" applyProtection="1">
      <alignment/>
      <protection hidden="1"/>
    </xf>
    <xf numFmtId="1" fontId="28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8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6" fillId="38" borderId="77" xfId="0" applyFont="1" applyFill="1" applyBorder="1" applyAlignment="1" applyProtection="1">
      <alignment horizontal="right"/>
      <protection hidden="1"/>
    </xf>
    <xf numFmtId="0" fontId="26" fillId="38" borderId="77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067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3822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IVAL_30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35" sqref="A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16.346153846153847</v>
      </c>
      <c r="M5" s="52"/>
      <c r="N5" s="53" t="s">
        <v>16</v>
      </c>
      <c r="O5" s="54">
        <v>16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74" t="s">
        <v>22</v>
      </c>
      <c r="O6" s="274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5" t="s">
        <v>26</v>
      </c>
      <c r="B8" s="276"/>
      <c r="C8" s="276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15.285714285714286</v>
      </c>
      <c r="O8" s="81">
        <f>IF(ISERROR(AVERAGE(J23:J82)),"      -",AVERAGE(J23:J82))</f>
        <v>2.2857142857142856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2.59</v>
      </c>
      <c r="C9" s="84">
        <v>0.08</v>
      </c>
      <c r="D9" s="85"/>
      <c r="E9" s="85"/>
      <c r="F9" s="86">
        <f>($B9*$B$7+$C9*$C$7)/100</f>
        <v>2.4644999999999997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2.1852940772540506</v>
      </c>
      <c r="O9" s="81">
        <f>IF(ISERROR(STDEVP(J23:J82)),"      -",STDEVP(J23:J82))</f>
        <v>0.6998542122237652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12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77" t="s">
        <v>35</v>
      </c>
      <c r="J11" s="278"/>
      <c r="K11" s="111">
        <f>COUNTIF($G$23:$G$82,"=HET")</f>
        <v>0</v>
      </c>
      <c r="L11" s="112"/>
      <c r="M11" s="102" t="s">
        <v>36</v>
      </c>
      <c r="N11" s="103">
        <f>MAX(I23:I82)</f>
        <v>19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0.01</v>
      </c>
      <c r="C12" s="115">
        <v>0.01</v>
      </c>
      <c r="D12" s="108"/>
      <c r="E12" s="108"/>
      <c r="F12" s="109">
        <f>($B12*$B$7+$C12*$C$7)/100</f>
        <v>0.01</v>
      </c>
      <c r="G12" s="116"/>
      <c r="H12" s="66"/>
      <c r="I12" s="279" t="s">
        <v>38</v>
      </c>
      <c r="J12" s="270"/>
      <c r="K12" s="111">
        <f>COUNTIF($G$23:$G$82,"=ALG")</f>
        <v>2</v>
      </c>
      <c r="L12" s="119"/>
      <c r="M12" s="120"/>
      <c r="N12" s="121" t="s">
        <v>32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2.58</v>
      </c>
      <c r="C13" s="115">
        <v>0.06</v>
      </c>
      <c r="D13" s="108"/>
      <c r="E13" s="108"/>
      <c r="F13" s="109">
        <f>($B13*$B$7+$C13*$C$7)/100</f>
        <v>2.454</v>
      </c>
      <c r="G13" s="116"/>
      <c r="H13" s="66"/>
      <c r="I13" s="269" t="s">
        <v>40</v>
      </c>
      <c r="J13" s="270"/>
      <c r="K13" s="111">
        <f>COUNTIF($G$23:$G$82,"=BRm")+COUNTIF($G$23:$G$82,"=BRh")</f>
        <v>5</v>
      </c>
      <c r="L13" s="112"/>
      <c r="M13" s="124" t="s">
        <v>41</v>
      </c>
      <c r="N13" s="125">
        <f>COUNTIF(F23:F82,"&gt;0")</f>
        <v>8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9" t="s">
        <v>43</v>
      </c>
      <c r="J14" s="270"/>
      <c r="K14" s="111">
        <f>COUNTIF($G$23:$G$82,"=PTE")+COUNTIF($G$23:$G$82,"=LIC")</f>
        <v>0</v>
      </c>
      <c r="L14" s="112"/>
      <c r="M14" s="128" t="s">
        <v>44</v>
      </c>
      <c r="N14" s="129">
        <f>COUNTIF($I$23:$I$82,"&gt;-1")</f>
        <v>7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45</v>
      </c>
      <c r="B15" s="132"/>
      <c r="C15" s="133">
        <v>0.01</v>
      </c>
      <c r="D15" s="108"/>
      <c r="E15" s="108"/>
      <c r="F15" s="109">
        <f>($B15*$B$7+$C15*$C$7)/100</f>
        <v>0.0005</v>
      </c>
      <c r="G15" s="116"/>
      <c r="H15" s="66"/>
      <c r="I15" s="269" t="s">
        <v>46</v>
      </c>
      <c r="J15" s="270"/>
      <c r="K15" s="111">
        <f>(COUNTIF($G$23:$G$82,"=PHy"))+(COUNTIF($G$23:$G$82,"=PHe"))+(COUNTIF($G$23:$G$82,"=PHg"))+(COUNTIF($G$23:$G$82,"=PHx"))</f>
        <v>1</v>
      </c>
      <c r="L15" s="112"/>
      <c r="M15" s="134" t="s">
        <v>47</v>
      </c>
      <c r="N15" s="135">
        <f>COUNTIF(J23:J82,"=1")</f>
        <v>1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49</v>
      </c>
      <c r="N16" s="135">
        <f>COUNTIF(J23:J82,"=2")</f>
        <v>3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2.59</v>
      </c>
      <c r="C17" s="115">
        <v>0.07</v>
      </c>
      <c r="D17" s="108"/>
      <c r="E17" s="108"/>
      <c r="F17" s="139"/>
      <c r="G17" s="109">
        <f>($B17*$B$7+$C17*$C$7)/100</f>
        <v>2.464</v>
      </c>
      <c r="H17" s="66"/>
      <c r="I17" s="269"/>
      <c r="J17" s="270"/>
      <c r="K17" s="118"/>
      <c r="L17" s="112"/>
      <c r="M17" s="134" t="s">
        <v>51</v>
      </c>
      <c r="N17" s="135">
        <f>COUNTIF(J23:J82,"=3")</f>
        <v>3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0.01</v>
      </c>
      <c r="D18" s="108"/>
      <c r="E18" s="144" t="s">
        <v>53</v>
      </c>
      <c r="F18" s="139"/>
      <c r="G18" s="109">
        <f>($B18*$B$7+$C18*$C$7)/100</f>
        <v>0.0005</v>
      </c>
      <c r="H18" s="66"/>
      <c r="I18" s="269"/>
      <c r="J18" s="270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2.4645</v>
      </c>
      <c r="G19" s="153">
        <f>SUM(G16:G18)</f>
        <v>2.4645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2.5899999999999994</v>
      </c>
      <c r="C20" s="163">
        <f>SUM(C23:C82)</f>
        <v>0.07</v>
      </c>
      <c r="D20" s="164"/>
      <c r="E20" s="165" t="s">
        <v>53</v>
      </c>
      <c r="F20" s="166">
        <f>($B20*$B$7+$C20*$C$7)/100</f>
        <v>2.4639999999999995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2.4604999999999997</v>
      </c>
      <c r="C21" s="176">
        <f>C20*C7/100</f>
        <v>0.0035000000000000005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2.4639999999999995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7"/>
      <c r="E22" s="137"/>
      <c r="F22" s="189" t="s">
        <v>61</v>
      </c>
      <c r="G22" s="190" t="s">
        <v>62</v>
      </c>
      <c r="H22" s="137"/>
      <c r="I22" s="191" t="s">
        <v>63</v>
      </c>
      <c r="J22" s="191" t="s">
        <v>64</v>
      </c>
      <c r="K22" s="271" t="s">
        <v>65</v>
      </c>
      <c r="L22" s="271"/>
      <c r="M22" s="271"/>
      <c r="N22" s="271"/>
      <c r="O22" s="272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5" customHeight="1">
      <c r="A23" s="200" t="s">
        <v>78</v>
      </c>
      <c r="B23" s="201">
        <v>0.01</v>
      </c>
      <c r="C23" s="201">
        <v>0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02" t="e">
        <f>IF(D23="",,VLOOKUP(D23,D$22:D22,1,0))</f>
        <v>#N/A</v>
      </c>
      <c r="F23" s="203">
        <f aca="true" t="shared" si="0" ref="F23:F82">($B23*$B$7+$C23*$C$7)/100</f>
        <v>0.009500000000000001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10">
        <f aca="true" t="shared" si="1" ref="Q23:Q82">IF(ISTEXT(H23),"",(B23*$B$7/100)+(C23*$C$7/100))</f>
        <v>0.009500000000000001</v>
      </c>
      <c r="R23" s="211">
        <f aca="true" t="shared" si="2" ref="R23:R82">IF(OR(ISTEXT(H23),Q23=0),"",IF(Q23&lt;0.1,1,IF(Q23&lt;1,2,IF(Q23&lt;10,3,IF(Q23&lt;50,4,IF(Q23&gt;=50,5,""))))))</f>
        <v>1</v>
      </c>
      <c r="S23" s="211">
        <f aca="true" t="shared" si="3" ref="S23:S82">IF(ISERROR(R23*I23),0,R23*I23)</f>
        <v>15</v>
      </c>
      <c r="T23" s="211">
        <f aca="true" t="shared" si="4" ref="T23:T82">IF(ISERROR(R23*I23*J23),0,R23*I23*J23)</f>
        <v>30</v>
      </c>
      <c r="U23" s="211">
        <f aca="true" t="shared" si="5" ref="U23:U82">IF(ISERROR(R23*J23),0,R23*J23)</f>
        <v>2</v>
      </c>
      <c r="V23" s="212">
        <f aca="true" t="shared" si="6" ref="V23:V82">IF(AND(A23="",F23=0),"",IF(F23=0,"Il manque le(s) % de rec. !",""))</f>
      </c>
      <c r="W23" s="213" t="s">
        <v>54</v>
      </c>
      <c r="Y23" s="214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15"/>
      <c r="AB23" s="216"/>
      <c r="AC23" s="216"/>
      <c r="BB23" s="8">
        <f aca="true" t="shared" si="7" ref="BB23:BB82">IF(A23="","",1)</f>
        <v>1</v>
      </c>
    </row>
    <row r="24" spans="1:54" ht="15" customHeight="1">
      <c r="A24" s="200" t="s">
        <v>79</v>
      </c>
      <c r="B24" s="201">
        <v>0</v>
      </c>
      <c r="C24" s="201">
        <v>0.01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17" t="e">
        <f>IF(D24="",,VLOOKUP(D24,D$22:D23,1,0))</f>
        <v>#N/A</v>
      </c>
      <c r="F24" s="218">
        <f t="shared" si="0"/>
        <v>0.0005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19"/>
      <c r="M24" s="219"/>
      <c r="N24" s="219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0">
        <f t="shared" si="1"/>
        <v>0.0005</v>
      </c>
      <c r="R24" s="211">
        <f t="shared" si="2"/>
        <v>1</v>
      </c>
      <c r="S24" s="211">
        <f t="shared" si="3"/>
        <v>13</v>
      </c>
      <c r="T24" s="211">
        <f t="shared" si="4"/>
        <v>26</v>
      </c>
      <c r="U24" s="220">
        <f t="shared" si="5"/>
        <v>2</v>
      </c>
      <c r="V24" s="212">
        <f t="shared" si="6"/>
      </c>
      <c r="W24" s="213" t="s">
        <v>54</v>
      </c>
      <c r="Y24" s="214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5"/>
      <c r="AB24" s="216"/>
      <c r="AC24" s="216"/>
      <c r="BB24" s="8">
        <f t="shared" si="7"/>
        <v>1</v>
      </c>
    </row>
    <row r="25" spans="1:54" ht="15" customHeight="1">
      <c r="A25" s="200" t="s">
        <v>16</v>
      </c>
      <c r="B25" s="201">
        <v>2.21</v>
      </c>
      <c r="C25" s="201">
        <v>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Scapania undulata</v>
      </c>
      <c r="E25" s="217" t="e">
        <f>IF(D25="",,VLOOKUP(D25,D$22:D24,1,0))</f>
        <v>#N/A</v>
      </c>
      <c r="F25" s="218">
        <f t="shared" si="0"/>
        <v>2.0995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17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3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Scapania undulata</v>
      </c>
      <c r="L25" s="219"/>
      <c r="M25" s="219"/>
      <c r="N25" s="219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1213</v>
      </c>
      <c r="Q25" s="210">
        <f t="shared" si="1"/>
        <v>2.0995</v>
      </c>
      <c r="R25" s="211">
        <f t="shared" si="2"/>
        <v>3</v>
      </c>
      <c r="S25" s="211">
        <f t="shared" si="3"/>
        <v>51</v>
      </c>
      <c r="T25" s="211">
        <f t="shared" si="4"/>
        <v>153</v>
      </c>
      <c r="U25" s="220">
        <f t="shared" si="5"/>
        <v>9</v>
      </c>
      <c r="V25" s="212">
        <f t="shared" si="6"/>
      </c>
      <c r="W25" s="213" t="s">
        <v>54</v>
      </c>
      <c r="Y25" s="214" t="str">
        <f>IF(A25="new.cod","NEWCOD",IF(AND((Z25=""),ISTEXT(A25)),A25,IF(Z25="","",INDEX('[1]liste reference'!$A$8:$A$904,Z25))))</f>
        <v>SCAUND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144</v>
      </c>
      <c r="AA25" s="215"/>
      <c r="AB25" s="216"/>
      <c r="AC25" s="216"/>
      <c r="BB25" s="8">
        <f t="shared" si="7"/>
        <v>1</v>
      </c>
    </row>
    <row r="26" spans="1:54" ht="15" customHeight="1">
      <c r="A26" s="200" t="s">
        <v>80</v>
      </c>
      <c r="B26" s="201">
        <v>0.02</v>
      </c>
      <c r="C26" s="201">
        <v>0.025000000000000005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Brachythecium rivulare</v>
      </c>
      <c r="E26" s="217" t="e">
        <f>IF(D26="",,VLOOKUP(D26,D$22:D25,1,0))</f>
        <v>#N/A</v>
      </c>
      <c r="F26" s="218">
        <f t="shared" si="0"/>
        <v>0.020250000000000004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Brachythecium rivulare</v>
      </c>
      <c r="L26" s="219"/>
      <c r="M26" s="219"/>
      <c r="N26" s="219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1260</v>
      </c>
      <c r="Q26" s="210">
        <f t="shared" si="1"/>
        <v>0.020250000000000004</v>
      </c>
      <c r="R26" s="211">
        <f t="shared" si="2"/>
        <v>1</v>
      </c>
      <c r="S26" s="211">
        <f t="shared" si="3"/>
        <v>15</v>
      </c>
      <c r="T26" s="211">
        <f t="shared" si="4"/>
        <v>30</v>
      </c>
      <c r="U26" s="220">
        <f t="shared" si="5"/>
        <v>2</v>
      </c>
      <c r="V26" s="212">
        <f t="shared" si="6"/>
      </c>
      <c r="W26" s="213" t="s">
        <v>54</v>
      </c>
      <c r="Y26" s="214" t="str">
        <f>IF(A26="new.cod","NEWCOD",IF(AND((Z26=""),ISTEXT(A26)),A26,IF(Z26="","",INDEX('[1]liste reference'!$A$8:$A$904,Z26))))</f>
        <v>BRARIV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155</v>
      </c>
      <c r="AA26" s="215"/>
      <c r="AB26" s="216"/>
      <c r="AC26" s="216"/>
      <c r="BB26" s="8">
        <f t="shared" si="7"/>
        <v>1</v>
      </c>
    </row>
    <row r="27" spans="1:54" ht="15" customHeight="1">
      <c r="A27" s="200" t="s">
        <v>81</v>
      </c>
      <c r="B27" s="201">
        <v>0.05</v>
      </c>
      <c r="C27" s="201">
        <v>0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Fontinalis squamosa</v>
      </c>
      <c r="E27" s="217" t="e">
        <f>IF(D27="",,VLOOKUP(D27,D$22:D26,1,0))</f>
        <v>#N/A</v>
      </c>
      <c r="F27" s="218">
        <f t="shared" si="0"/>
        <v>0.0475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16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Fontinalis squamosa</v>
      </c>
      <c r="L27" s="219"/>
      <c r="M27" s="219"/>
      <c r="N27" s="219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1312</v>
      </c>
      <c r="Q27" s="210">
        <f t="shared" si="1"/>
        <v>0.0475</v>
      </c>
      <c r="R27" s="211">
        <f t="shared" si="2"/>
        <v>1</v>
      </c>
      <c r="S27" s="211">
        <f t="shared" si="3"/>
        <v>16</v>
      </c>
      <c r="T27" s="211">
        <f t="shared" si="4"/>
        <v>48</v>
      </c>
      <c r="U27" s="220">
        <f t="shared" si="5"/>
        <v>3</v>
      </c>
      <c r="V27" s="212">
        <f t="shared" si="6"/>
      </c>
      <c r="W27" s="213" t="s">
        <v>54</v>
      </c>
      <c r="Y27" s="214" t="str">
        <f>IF(A27="new.cod","NEWCOD",IF(AND((Z27=""),ISTEXT(A27)),A27,IF(Z27="","",INDEX('[1]liste reference'!$A$8:$A$904,Z27))))</f>
        <v>FONSQU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214</v>
      </c>
      <c r="AA27" s="215"/>
      <c r="AB27" s="216"/>
      <c r="AC27" s="216"/>
      <c r="BB27" s="8">
        <f t="shared" si="7"/>
        <v>1</v>
      </c>
    </row>
    <row r="28" spans="1:54" ht="15" customHeight="1">
      <c r="A28" s="200" t="s">
        <v>82</v>
      </c>
      <c r="B28" s="201">
        <v>0.15</v>
      </c>
      <c r="C28" s="201">
        <v>0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Hygrohypnum luridum</v>
      </c>
      <c r="E28" s="217" t="e">
        <f>IF(D28="",,VLOOKUP(D28,D$22:D27,1,0))</f>
        <v>#N/A</v>
      </c>
      <c r="F28" s="218">
        <f t="shared" si="0"/>
        <v>0.1425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19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Hygrohypnum luridum</v>
      </c>
      <c r="L28" s="219"/>
      <c r="M28" s="219"/>
      <c r="N28" s="219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1240</v>
      </c>
      <c r="Q28" s="210">
        <f t="shared" si="1"/>
        <v>0.1425</v>
      </c>
      <c r="R28" s="211">
        <f t="shared" si="2"/>
        <v>2</v>
      </c>
      <c r="S28" s="211">
        <f t="shared" si="3"/>
        <v>38</v>
      </c>
      <c r="T28" s="211">
        <f t="shared" si="4"/>
        <v>114</v>
      </c>
      <c r="U28" s="220">
        <f t="shared" si="5"/>
        <v>6</v>
      </c>
      <c r="V28" s="212">
        <f t="shared" si="6"/>
      </c>
      <c r="W28" s="213" t="s">
        <v>54</v>
      </c>
      <c r="Y28" s="214" t="str">
        <f>IF(A28="new.cod","NEWCOD",IF(AND((Z28=""),ISTEXT(A28)),A28,IF(Z28="","",INDEX('[1]liste reference'!$A$8:$A$904,Z28))))</f>
        <v>HYGLUR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219</v>
      </c>
      <c r="AA28" s="215"/>
      <c r="AB28" s="216"/>
      <c r="AC28" s="216"/>
      <c r="BB28" s="8">
        <f t="shared" si="7"/>
        <v>1</v>
      </c>
    </row>
    <row r="29" spans="1:54" ht="15" customHeight="1">
      <c r="A29" s="200" t="s">
        <v>83</v>
      </c>
      <c r="B29" s="201">
        <v>0.15</v>
      </c>
      <c r="C29" s="201">
        <v>0.025000000000000005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17" t="e">
        <f>IF(D29="",,VLOOKUP(D29,D$22:D28,1,0))</f>
        <v>#N/A</v>
      </c>
      <c r="F29" s="218">
        <f t="shared" si="0"/>
        <v>0.14375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19"/>
      <c r="M29" s="219"/>
      <c r="N29" s="219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0">
        <f t="shared" si="1"/>
        <v>0.14375</v>
      </c>
      <c r="R29" s="211">
        <f t="shared" si="2"/>
        <v>2</v>
      </c>
      <c r="S29" s="211">
        <f t="shared" si="3"/>
        <v>24</v>
      </c>
      <c r="T29" s="211">
        <f t="shared" si="4"/>
        <v>24</v>
      </c>
      <c r="U29" s="220">
        <f t="shared" si="5"/>
        <v>2</v>
      </c>
      <c r="V29" s="212">
        <f t="shared" si="6"/>
      </c>
      <c r="W29" s="213" t="s">
        <v>54</v>
      </c>
      <c r="Y29" s="214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5"/>
      <c r="AB29" s="216"/>
      <c r="AC29" s="216"/>
      <c r="BB29" s="8">
        <f t="shared" si="7"/>
        <v>1</v>
      </c>
    </row>
    <row r="30" spans="1:54" ht="15" customHeight="1">
      <c r="A30" s="200" t="s">
        <v>84</v>
      </c>
      <c r="B30" s="201">
        <v>0</v>
      </c>
      <c r="C30" s="201">
        <v>0.01</v>
      </c>
      <c r="D30" s="202" t="str">
        <f>IF(ISERROR(VLOOKUP($A30,'[1]liste reference'!$A$7:$D$904,2,0)),IF(ISERROR(VLOOKUP($A30,'[1]liste reference'!$B$7:$D$904,1,0)),"",VLOOKUP($A30,'[1]liste reference'!$B$7:$D$904,1,0)),VLOOKUP($A30,'[1]liste reference'!$A$7:$D$904,2,0))</f>
        <v>Mentha x rotundifolia</v>
      </c>
      <c r="E30" s="217" t="e">
        <f>IF(D30="",,VLOOKUP(D30,D$22:D29,1,0))</f>
        <v>#N/A</v>
      </c>
      <c r="F30" s="218">
        <f t="shared" si="0"/>
        <v>0.0005</v>
      </c>
      <c r="G30" s="20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Mentha x rotundifolia</v>
      </c>
      <c r="L30" s="219"/>
      <c r="M30" s="219"/>
      <c r="N30" s="219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19857</v>
      </c>
      <c r="Q30" s="210">
        <f t="shared" si="1"/>
        <v>0.0005</v>
      </c>
      <c r="R30" s="211">
        <f t="shared" si="2"/>
        <v>1</v>
      </c>
      <c r="S30" s="211">
        <f t="shared" si="3"/>
        <v>0</v>
      </c>
      <c r="T30" s="211">
        <f t="shared" si="4"/>
        <v>0</v>
      </c>
      <c r="U30" s="220">
        <f t="shared" si="5"/>
        <v>0</v>
      </c>
      <c r="V30" s="212">
        <f t="shared" si="6"/>
      </c>
      <c r="W30" s="213" t="s">
        <v>54</v>
      </c>
      <c r="Y30" s="214" t="str">
        <f>IF(A30="new.cod","NEWCOD",IF(AND((Z30=""),ISTEXT(A30)),A30,IF(Z30="","",INDEX('[1]liste reference'!$A$8:$A$904,Z30))))</f>
        <v>MENXRO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611</v>
      </c>
      <c r="AA30" s="215"/>
      <c r="AB30" s="216"/>
      <c r="AC30" s="216"/>
      <c r="BB30" s="8">
        <f t="shared" si="7"/>
        <v>1</v>
      </c>
    </row>
    <row r="31" spans="1:54" ht="12.75">
      <c r="A31" s="221" t="s">
        <v>54</v>
      </c>
      <c r="B31" s="222"/>
      <c r="C31" s="223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7">
        <f>IF(D31="",,VLOOKUP(D31,D$22:D30,1,0))</f>
        <v>0</v>
      </c>
      <c r="F31" s="218">
        <f t="shared" si="0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1"/>
      </c>
      <c r="R31" s="211">
        <f t="shared" si="2"/>
      </c>
      <c r="S31" s="211">
        <f t="shared" si="3"/>
        <v>0</v>
      </c>
      <c r="T31" s="211">
        <f t="shared" si="4"/>
        <v>0</v>
      </c>
      <c r="U31" s="220">
        <f t="shared" si="5"/>
        <v>0</v>
      </c>
      <c r="V31" s="212">
        <f t="shared" si="6"/>
      </c>
      <c r="W31" s="213" t="s">
        <v>54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7"/>
      </c>
    </row>
    <row r="32" spans="1:54" ht="12.75">
      <c r="A32" s="221" t="s">
        <v>54</v>
      </c>
      <c r="B32" s="222"/>
      <c r="C32" s="223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7">
        <f>IF(D32="",,VLOOKUP(D32,D$22:D31,1,0))</f>
        <v>0</v>
      </c>
      <c r="F32" s="218">
        <f t="shared" si="0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1"/>
      </c>
      <c r="R32" s="211">
        <f t="shared" si="2"/>
      </c>
      <c r="S32" s="211">
        <f t="shared" si="3"/>
        <v>0</v>
      </c>
      <c r="T32" s="211">
        <f t="shared" si="4"/>
        <v>0</v>
      </c>
      <c r="U32" s="220">
        <f t="shared" si="5"/>
        <v>0</v>
      </c>
      <c r="V32" s="212">
        <f t="shared" si="6"/>
      </c>
      <c r="W32" s="213" t="s">
        <v>54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7"/>
      </c>
    </row>
    <row r="33" spans="1:54" ht="12.75">
      <c r="A33" s="221" t="s">
        <v>54</v>
      </c>
      <c r="B33" s="222"/>
      <c r="C33" s="223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7">
        <f>IF(D33="",,VLOOKUP(D33,D$22:D32,1,0))</f>
        <v>0</v>
      </c>
      <c r="F33" s="218">
        <f t="shared" si="0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1"/>
      </c>
      <c r="R33" s="211">
        <f t="shared" si="2"/>
      </c>
      <c r="S33" s="211">
        <f t="shared" si="3"/>
        <v>0</v>
      </c>
      <c r="T33" s="211">
        <f t="shared" si="4"/>
        <v>0</v>
      </c>
      <c r="U33" s="220">
        <f t="shared" si="5"/>
        <v>0</v>
      </c>
      <c r="V33" s="212">
        <f t="shared" si="6"/>
      </c>
      <c r="W33" s="213" t="s">
        <v>54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7"/>
      </c>
    </row>
    <row r="34" spans="1:54" ht="12.75">
      <c r="A34" s="221" t="s">
        <v>54</v>
      </c>
      <c r="B34" s="222"/>
      <c r="C34" s="223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7">
        <f>IF(D34="",,VLOOKUP(D34,D$22:D33,1,0))</f>
        <v>0</v>
      </c>
      <c r="F34" s="224">
        <f t="shared" si="0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1"/>
      </c>
      <c r="R34" s="211">
        <f t="shared" si="2"/>
      </c>
      <c r="S34" s="211">
        <f t="shared" si="3"/>
        <v>0</v>
      </c>
      <c r="T34" s="211">
        <f t="shared" si="4"/>
        <v>0</v>
      </c>
      <c r="U34" s="220">
        <f t="shared" si="5"/>
        <v>0</v>
      </c>
      <c r="V34" s="212">
        <f t="shared" si="6"/>
      </c>
      <c r="W34" s="213" t="s">
        <v>54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7"/>
      </c>
    </row>
    <row r="35" spans="1:54" ht="12.75">
      <c r="A35" s="221" t="s">
        <v>54</v>
      </c>
      <c r="B35" s="222"/>
      <c r="C35" s="223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7">
        <f>IF(D35="",,VLOOKUP(D35,D$22:D34,1,0))</f>
        <v>0</v>
      </c>
      <c r="F35" s="224">
        <f t="shared" si="0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1"/>
      </c>
      <c r="R35" s="211">
        <f t="shared" si="2"/>
      </c>
      <c r="S35" s="211">
        <f t="shared" si="3"/>
        <v>0</v>
      </c>
      <c r="T35" s="211">
        <f t="shared" si="4"/>
        <v>0</v>
      </c>
      <c r="U35" s="220">
        <f t="shared" si="5"/>
        <v>0</v>
      </c>
      <c r="V35" s="212">
        <f t="shared" si="6"/>
      </c>
      <c r="W35" s="213" t="s">
        <v>54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7"/>
      </c>
    </row>
    <row r="36" spans="1:54" ht="12.75">
      <c r="A36" s="221" t="s">
        <v>54</v>
      </c>
      <c r="B36" s="222"/>
      <c r="C36" s="223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7">
        <f>IF(D36="",,VLOOKUP(D36,D$22:D35,1,0))</f>
        <v>0</v>
      </c>
      <c r="F36" s="224">
        <f t="shared" si="0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1"/>
      </c>
      <c r="R36" s="211">
        <f t="shared" si="2"/>
      </c>
      <c r="S36" s="211">
        <f t="shared" si="3"/>
        <v>0</v>
      </c>
      <c r="T36" s="211">
        <f t="shared" si="4"/>
        <v>0</v>
      </c>
      <c r="U36" s="220">
        <f t="shared" si="5"/>
        <v>0</v>
      </c>
      <c r="V36" s="212">
        <f t="shared" si="6"/>
      </c>
      <c r="W36" s="213" t="s">
        <v>54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7"/>
      </c>
    </row>
    <row r="37" spans="1:54" ht="12.75">
      <c r="A37" s="221" t="s">
        <v>54</v>
      </c>
      <c r="B37" s="222"/>
      <c r="C37" s="223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7">
        <f>IF(D37="",,VLOOKUP(D37,D$22:D36,1,0))</f>
        <v>0</v>
      </c>
      <c r="F37" s="224">
        <f t="shared" si="0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1"/>
      </c>
      <c r="R37" s="211">
        <f t="shared" si="2"/>
      </c>
      <c r="S37" s="211">
        <f t="shared" si="3"/>
        <v>0</v>
      </c>
      <c r="T37" s="211">
        <f t="shared" si="4"/>
        <v>0</v>
      </c>
      <c r="U37" s="220">
        <f t="shared" si="5"/>
        <v>0</v>
      </c>
      <c r="V37" s="212">
        <f t="shared" si="6"/>
      </c>
      <c r="W37" s="213" t="s">
        <v>54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7"/>
      </c>
    </row>
    <row r="38" spans="1:54" ht="12.75">
      <c r="A38" s="221" t="s">
        <v>54</v>
      </c>
      <c r="B38" s="222"/>
      <c r="C38" s="223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7">
        <f>IF(D38="",,VLOOKUP(D38,D$22:D31,1,0))</f>
        <v>0</v>
      </c>
      <c r="F38" s="224">
        <f t="shared" si="0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1"/>
      </c>
      <c r="R38" s="211">
        <f t="shared" si="2"/>
      </c>
      <c r="S38" s="211">
        <f t="shared" si="3"/>
        <v>0</v>
      </c>
      <c r="T38" s="211">
        <f t="shared" si="4"/>
        <v>0</v>
      </c>
      <c r="U38" s="220">
        <f t="shared" si="5"/>
        <v>0</v>
      </c>
      <c r="V38" s="212">
        <f t="shared" si="6"/>
      </c>
      <c r="W38" s="213" t="s">
        <v>54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7"/>
      </c>
    </row>
    <row r="39" spans="1:54" ht="12.75">
      <c r="A39" s="221" t="s">
        <v>54</v>
      </c>
      <c r="B39" s="222"/>
      <c r="C39" s="223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7">
        <f>IF(D39="",,VLOOKUP(D39,D$22:D31,1,0))</f>
        <v>0</v>
      </c>
      <c r="F39" s="224">
        <f t="shared" si="0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1"/>
      </c>
      <c r="R39" s="211">
        <f t="shared" si="2"/>
      </c>
      <c r="S39" s="211">
        <f t="shared" si="3"/>
        <v>0</v>
      </c>
      <c r="T39" s="211">
        <f t="shared" si="4"/>
        <v>0</v>
      </c>
      <c r="U39" s="220">
        <f t="shared" si="5"/>
        <v>0</v>
      </c>
      <c r="V39" s="212">
        <f t="shared" si="6"/>
      </c>
      <c r="W39" s="213" t="s">
        <v>54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7"/>
      </c>
    </row>
    <row r="40" spans="1:54" ht="12.75">
      <c r="A40" s="221" t="s">
        <v>54</v>
      </c>
      <c r="B40" s="222"/>
      <c r="C40" s="223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7">
        <f>IF(D40="",,VLOOKUP(D40,D$22:D32,1,0))</f>
        <v>0</v>
      </c>
      <c r="F40" s="224">
        <f t="shared" si="0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1"/>
      </c>
      <c r="R40" s="211">
        <f t="shared" si="2"/>
      </c>
      <c r="S40" s="211">
        <f t="shared" si="3"/>
        <v>0</v>
      </c>
      <c r="T40" s="211">
        <f t="shared" si="4"/>
        <v>0</v>
      </c>
      <c r="U40" s="220">
        <f t="shared" si="5"/>
        <v>0</v>
      </c>
      <c r="V40" s="212">
        <f t="shared" si="6"/>
      </c>
      <c r="W40" s="213" t="s">
        <v>54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7"/>
      </c>
    </row>
    <row r="41" spans="1:54" ht="12.75">
      <c r="A41" s="221" t="s">
        <v>54</v>
      </c>
      <c r="B41" s="222"/>
      <c r="C41" s="223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7">
        <f>IF(D41="",,VLOOKUP(D41,D$22:D40,1,0))</f>
        <v>0</v>
      </c>
      <c r="F41" s="224">
        <f t="shared" si="0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1"/>
      </c>
      <c r="R41" s="211">
        <f t="shared" si="2"/>
      </c>
      <c r="S41" s="211">
        <f t="shared" si="3"/>
        <v>0</v>
      </c>
      <c r="T41" s="211">
        <f t="shared" si="4"/>
        <v>0</v>
      </c>
      <c r="U41" s="220">
        <f t="shared" si="5"/>
        <v>0</v>
      </c>
      <c r="V41" s="212">
        <f t="shared" si="6"/>
      </c>
      <c r="W41" s="213" t="s">
        <v>54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7"/>
      </c>
    </row>
    <row r="42" spans="1:54" ht="12.75">
      <c r="A42" s="221" t="s">
        <v>54</v>
      </c>
      <c r="B42" s="222"/>
      <c r="C42" s="223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7">
        <f>IF(D42="",,VLOOKUP(D42,D$22:D41,1,0))</f>
        <v>0</v>
      </c>
      <c r="F42" s="224">
        <f t="shared" si="0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1"/>
      </c>
      <c r="R42" s="211">
        <f t="shared" si="2"/>
      </c>
      <c r="S42" s="211">
        <f t="shared" si="3"/>
        <v>0</v>
      </c>
      <c r="T42" s="211">
        <f t="shared" si="4"/>
        <v>0</v>
      </c>
      <c r="U42" s="220">
        <f t="shared" si="5"/>
        <v>0</v>
      </c>
      <c r="V42" s="212">
        <f t="shared" si="6"/>
      </c>
      <c r="W42" s="213" t="s">
        <v>54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7"/>
      </c>
    </row>
    <row r="43" spans="1:54" ht="12.75">
      <c r="A43" s="221" t="s">
        <v>54</v>
      </c>
      <c r="B43" s="222"/>
      <c r="C43" s="223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7">
        <f>IF(D43="",,VLOOKUP(D43,D$22:D42,1,0))</f>
        <v>0</v>
      </c>
      <c r="F43" s="224">
        <f t="shared" si="0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1"/>
      </c>
      <c r="R43" s="211">
        <f t="shared" si="2"/>
      </c>
      <c r="S43" s="211">
        <f t="shared" si="3"/>
        <v>0</v>
      </c>
      <c r="T43" s="211">
        <f t="shared" si="4"/>
        <v>0</v>
      </c>
      <c r="U43" s="220">
        <f t="shared" si="5"/>
        <v>0</v>
      </c>
      <c r="V43" s="212">
        <f t="shared" si="6"/>
      </c>
      <c r="W43" s="213" t="s">
        <v>54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7"/>
      </c>
    </row>
    <row r="44" spans="1:54" ht="12.75">
      <c r="A44" s="221" t="s">
        <v>54</v>
      </c>
      <c r="B44" s="222"/>
      <c r="C44" s="223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7">
        <f>IF(D44="",,VLOOKUP(D44,D$22:D43,1,0))</f>
        <v>0</v>
      </c>
      <c r="F44" s="224">
        <f t="shared" si="0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1"/>
      </c>
      <c r="R44" s="211">
        <f t="shared" si="2"/>
      </c>
      <c r="S44" s="211">
        <f t="shared" si="3"/>
        <v>0</v>
      </c>
      <c r="T44" s="211">
        <f t="shared" si="4"/>
        <v>0</v>
      </c>
      <c r="U44" s="220">
        <f t="shared" si="5"/>
        <v>0</v>
      </c>
      <c r="V44" s="212">
        <f t="shared" si="6"/>
      </c>
      <c r="W44" s="213" t="s">
        <v>54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7"/>
      </c>
    </row>
    <row r="45" spans="1:54" ht="12.75">
      <c r="A45" s="221" t="s">
        <v>54</v>
      </c>
      <c r="B45" s="222"/>
      <c r="C45" s="223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7">
        <f>IF(D45="",,VLOOKUP(D45,D$22:D44,1,0))</f>
        <v>0</v>
      </c>
      <c r="F45" s="224">
        <f t="shared" si="0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1"/>
      </c>
      <c r="R45" s="211">
        <f t="shared" si="2"/>
      </c>
      <c r="S45" s="211">
        <f t="shared" si="3"/>
        <v>0</v>
      </c>
      <c r="T45" s="211">
        <f t="shared" si="4"/>
        <v>0</v>
      </c>
      <c r="U45" s="220">
        <f t="shared" si="5"/>
        <v>0</v>
      </c>
      <c r="V45" s="212">
        <f t="shared" si="6"/>
      </c>
      <c r="W45" s="213" t="s">
        <v>54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7"/>
      </c>
    </row>
    <row r="46" spans="1:54" ht="12.75">
      <c r="A46" s="221" t="s">
        <v>54</v>
      </c>
      <c r="B46" s="222"/>
      <c r="C46" s="223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7">
        <f>IF(D46="",,VLOOKUP(D46,D$22:D45,1,0))</f>
        <v>0</v>
      </c>
      <c r="F46" s="224">
        <f t="shared" si="0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1"/>
      </c>
      <c r="R46" s="211">
        <f t="shared" si="2"/>
      </c>
      <c r="S46" s="211">
        <f t="shared" si="3"/>
        <v>0</v>
      </c>
      <c r="T46" s="211">
        <f t="shared" si="4"/>
        <v>0</v>
      </c>
      <c r="U46" s="220">
        <f t="shared" si="5"/>
        <v>0</v>
      </c>
      <c r="V46" s="212">
        <f t="shared" si="6"/>
      </c>
      <c r="W46" s="213" t="s">
        <v>54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7"/>
      </c>
    </row>
    <row r="47" spans="1:54" ht="12.75">
      <c r="A47" s="221" t="s">
        <v>54</v>
      </c>
      <c r="B47" s="222"/>
      <c r="C47" s="223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7">
        <f>IF(D47="",,VLOOKUP(D47,D$22:D46,1,0))</f>
        <v>0</v>
      </c>
      <c r="F47" s="224">
        <f t="shared" si="0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1"/>
      </c>
      <c r="R47" s="211">
        <f t="shared" si="2"/>
      </c>
      <c r="S47" s="211">
        <f t="shared" si="3"/>
        <v>0</v>
      </c>
      <c r="T47" s="211">
        <f t="shared" si="4"/>
        <v>0</v>
      </c>
      <c r="U47" s="220">
        <f t="shared" si="5"/>
        <v>0</v>
      </c>
      <c r="V47" s="212">
        <f t="shared" si="6"/>
      </c>
      <c r="W47" s="213" t="s">
        <v>54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7"/>
      </c>
    </row>
    <row r="48" spans="1:54" ht="12.75">
      <c r="A48" s="221" t="s">
        <v>54</v>
      </c>
      <c r="B48" s="222"/>
      <c r="C48" s="223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7">
        <f>IF(D48="",,VLOOKUP(D48,D$22:D47,1,0))</f>
        <v>0</v>
      </c>
      <c r="F48" s="224">
        <f t="shared" si="0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1"/>
      </c>
      <c r="R48" s="211">
        <f t="shared" si="2"/>
      </c>
      <c r="S48" s="211">
        <f t="shared" si="3"/>
        <v>0</v>
      </c>
      <c r="T48" s="211">
        <f t="shared" si="4"/>
        <v>0</v>
      </c>
      <c r="U48" s="220">
        <f t="shared" si="5"/>
        <v>0</v>
      </c>
      <c r="V48" s="212">
        <f t="shared" si="6"/>
      </c>
      <c r="W48" s="213" t="s">
        <v>54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7"/>
      </c>
    </row>
    <row r="49" spans="1:54" ht="12.75">
      <c r="A49" s="221" t="s">
        <v>54</v>
      </c>
      <c r="B49" s="222"/>
      <c r="C49" s="223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7">
        <f>IF(D49="",,VLOOKUP(D49,D$21:D48,1,0))</f>
        <v>0</v>
      </c>
      <c r="F49" s="224">
        <f t="shared" si="0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1"/>
      </c>
      <c r="R49" s="211">
        <f t="shared" si="2"/>
      </c>
      <c r="S49" s="211">
        <f t="shared" si="3"/>
        <v>0</v>
      </c>
      <c r="T49" s="211">
        <f t="shared" si="4"/>
        <v>0</v>
      </c>
      <c r="U49" s="220">
        <f t="shared" si="5"/>
        <v>0</v>
      </c>
      <c r="V49" s="212">
        <f t="shared" si="6"/>
      </c>
      <c r="W49" s="213" t="s">
        <v>54</v>
      </c>
      <c r="X49" s="225"/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7"/>
      </c>
    </row>
    <row r="50" spans="1:54" ht="12.75">
      <c r="A50" s="221" t="s">
        <v>54</v>
      </c>
      <c r="B50" s="222"/>
      <c r="C50" s="223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7">
        <f>IF(D50="",,VLOOKUP(D50,D$22:D49,1,0))</f>
        <v>0</v>
      </c>
      <c r="F50" s="224">
        <f t="shared" si="0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1"/>
      </c>
      <c r="R50" s="211">
        <f t="shared" si="2"/>
      </c>
      <c r="S50" s="211">
        <f t="shared" si="3"/>
        <v>0</v>
      </c>
      <c r="T50" s="211">
        <f t="shared" si="4"/>
        <v>0</v>
      </c>
      <c r="U50" s="220">
        <f t="shared" si="5"/>
        <v>0</v>
      </c>
      <c r="V50" s="212">
        <f t="shared" si="6"/>
      </c>
      <c r="W50" s="213" t="s">
        <v>54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7"/>
      </c>
    </row>
    <row r="51" spans="1:54" ht="12.75">
      <c r="A51" s="221" t="s">
        <v>54</v>
      </c>
      <c r="B51" s="222"/>
      <c r="C51" s="223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7">
        <f>IF(D51="",,VLOOKUP(D51,D$22:D50,1,0))</f>
        <v>0</v>
      </c>
      <c r="F51" s="224">
        <f t="shared" si="0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6"/>
      <c r="M51" s="226"/>
      <c r="N51" s="226"/>
      <c r="O51" s="209"/>
      <c r="P51" s="227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1"/>
      </c>
      <c r="R51" s="211">
        <f t="shared" si="2"/>
      </c>
      <c r="S51" s="211">
        <f t="shared" si="3"/>
        <v>0</v>
      </c>
      <c r="T51" s="211">
        <f t="shared" si="4"/>
        <v>0</v>
      </c>
      <c r="U51" s="220">
        <f t="shared" si="5"/>
        <v>0</v>
      </c>
      <c r="V51" s="212">
        <f t="shared" si="6"/>
      </c>
      <c r="W51" s="213" t="s">
        <v>54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7"/>
      </c>
    </row>
    <row r="52" spans="1:54" ht="12.75">
      <c r="A52" s="221" t="s">
        <v>54</v>
      </c>
      <c r="B52" s="222"/>
      <c r="C52" s="223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7">
        <f>IF(D52="",,VLOOKUP(D52,D$22:D51,1,0))</f>
        <v>0</v>
      </c>
      <c r="F52" s="224">
        <f t="shared" si="0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6"/>
      <c r="M52" s="226"/>
      <c r="N52" s="226"/>
      <c r="O52" s="209"/>
      <c r="P52" s="227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1"/>
      </c>
      <c r="R52" s="211">
        <f t="shared" si="2"/>
      </c>
      <c r="S52" s="211">
        <f t="shared" si="3"/>
        <v>0</v>
      </c>
      <c r="T52" s="211">
        <f t="shared" si="4"/>
        <v>0</v>
      </c>
      <c r="U52" s="220">
        <f t="shared" si="5"/>
        <v>0</v>
      </c>
      <c r="V52" s="212">
        <f t="shared" si="6"/>
      </c>
      <c r="W52" s="213" t="s">
        <v>54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7"/>
      </c>
    </row>
    <row r="53" spans="1:54" ht="12.75">
      <c r="A53" s="221" t="s">
        <v>54</v>
      </c>
      <c r="B53" s="222"/>
      <c r="C53" s="223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7">
        <f>IF(D53="",,VLOOKUP(D53,D$22:D52,1,0))</f>
        <v>0</v>
      </c>
      <c r="F53" s="224">
        <f t="shared" si="0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1"/>
      </c>
      <c r="R53" s="211">
        <f t="shared" si="2"/>
      </c>
      <c r="S53" s="211">
        <f t="shared" si="3"/>
        <v>0</v>
      </c>
      <c r="T53" s="211">
        <f t="shared" si="4"/>
        <v>0</v>
      </c>
      <c r="U53" s="220">
        <f t="shared" si="5"/>
        <v>0</v>
      </c>
      <c r="V53" s="212">
        <f t="shared" si="6"/>
      </c>
      <c r="W53" s="213" t="s">
        <v>54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7"/>
      </c>
    </row>
    <row r="54" spans="1:54" ht="12.75">
      <c r="A54" s="221" t="s">
        <v>54</v>
      </c>
      <c r="B54" s="222"/>
      <c r="C54" s="223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7">
        <f>IF(D54="",,VLOOKUP(D54,D$22:D53,1,0))</f>
        <v>0</v>
      </c>
      <c r="F54" s="224">
        <f t="shared" si="0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1"/>
      </c>
      <c r="R54" s="211">
        <f t="shared" si="2"/>
      </c>
      <c r="S54" s="211">
        <f t="shared" si="3"/>
        <v>0</v>
      </c>
      <c r="T54" s="211">
        <f t="shared" si="4"/>
        <v>0</v>
      </c>
      <c r="U54" s="220">
        <f t="shared" si="5"/>
        <v>0</v>
      </c>
      <c r="V54" s="212">
        <f t="shared" si="6"/>
      </c>
      <c r="W54" s="213" t="s">
        <v>54</v>
      </c>
      <c r="X54" s="213"/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7"/>
      </c>
    </row>
    <row r="55" spans="1:54" ht="12.75" customHeight="1">
      <c r="A55" s="228" t="s">
        <v>54</v>
      </c>
      <c r="B55" s="229"/>
      <c r="C55" s="230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7">
        <f>IF(D55="",,VLOOKUP(D55,D$22:D54,1,0))</f>
        <v>0</v>
      </c>
      <c r="F55" s="224">
        <f t="shared" si="0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1"/>
      </c>
      <c r="R55" s="211">
        <f t="shared" si="2"/>
      </c>
      <c r="S55" s="211">
        <f t="shared" si="3"/>
        <v>0</v>
      </c>
      <c r="T55" s="211">
        <f t="shared" si="4"/>
        <v>0</v>
      </c>
      <c r="U55" s="220">
        <f t="shared" si="5"/>
        <v>0</v>
      </c>
      <c r="V55" s="212">
        <f t="shared" si="6"/>
      </c>
      <c r="W55" s="213" t="s">
        <v>54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7"/>
      </c>
    </row>
    <row r="56" spans="1:54" ht="12.75" customHeight="1">
      <c r="A56" s="228" t="s">
        <v>54</v>
      </c>
      <c r="B56" s="229"/>
      <c r="C56" s="230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7">
        <f>IF(D56="",,VLOOKUP(D56,D$22:D55,1,0))</f>
        <v>0</v>
      </c>
      <c r="F56" s="224">
        <f t="shared" si="0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1"/>
      </c>
      <c r="R56" s="211">
        <f t="shared" si="2"/>
      </c>
      <c r="S56" s="211">
        <f t="shared" si="3"/>
        <v>0</v>
      </c>
      <c r="T56" s="211">
        <f t="shared" si="4"/>
        <v>0</v>
      </c>
      <c r="U56" s="220">
        <f t="shared" si="5"/>
        <v>0</v>
      </c>
      <c r="V56" s="212">
        <f t="shared" si="6"/>
      </c>
      <c r="W56" s="213" t="s">
        <v>54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7"/>
      </c>
    </row>
    <row r="57" spans="1:54" ht="12.75" customHeight="1">
      <c r="A57" s="231" t="s">
        <v>54</v>
      </c>
      <c r="B57" s="229"/>
      <c r="C57" s="230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7">
        <f>IF(D57="",,VLOOKUP(D57,D$22:D56,1,0))</f>
        <v>0</v>
      </c>
      <c r="F57" s="224">
        <f t="shared" si="0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1"/>
      </c>
      <c r="R57" s="211">
        <f t="shared" si="2"/>
      </c>
      <c r="S57" s="211">
        <f t="shared" si="3"/>
        <v>0</v>
      </c>
      <c r="T57" s="211">
        <f t="shared" si="4"/>
        <v>0</v>
      </c>
      <c r="U57" s="220">
        <f t="shared" si="5"/>
        <v>0</v>
      </c>
      <c r="V57" s="212">
        <f t="shared" si="6"/>
      </c>
      <c r="W57" s="213" t="s">
        <v>54</v>
      </c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7"/>
      </c>
    </row>
    <row r="58" spans="1:54" ht="12.75" customHeight="1">
      <c r="A58" s="232" t="s">
        <v>54</v>
      </c>
      <c r="B58" s="229"/>
      <c r="C58" s="230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7">
        <f>IF(D58="",,VLOOKUP(D58,D$22:D57,1,0))</f>
        <v>0</v>
      </c>
      <c r="F58" s="224">
        <f t="shared" si="0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1"/>
      </c>
      <c r="R58" s="211">
        <f t="shared" si="2"/>
      </c>
      <c r="S58" s="211">
        <f t="shared" si="3"/>
        <v>0</v>
      </c>
      <c r="T58" s="211">
        <f t="shared" si="4"/>
        <v>0</v>
      </c>
      <c r="U58" s="220">
        <f t="shared" si="5"/>
        <v>0</v>
      </c>
      <c r="V58" s="212">
        <f t="shared" si="6"/>
      </c>
      <c r="W58" s="213" t="s">
        <v>54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7"/>
      </c>
    </row>
    <row r="59" spans="1:54" ht="12.75" customHeight="1">
      <c r="A59" s="232" t="s">
        <v>54</v>
      </c>
      <c r="B59" s="229"/>
      <c r="C59" s="230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7">
        <f>IF(D59="",,VLOOKUP(D59,D$22:D58,1,0))</f>
        <v>0</v>
      </c>
      <c r="F59" s="224">
        <f t="shared" si="0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19"/>
      <c r="M59" s="219"/>
      <c r="N59" s="219"/>
      <c r="O59" s="209"/>
      <c r="P59" s="20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1"/>
      </c>
      <c r="R59" s="211">
        <f t="shared" si="2"/>
      </c>
      <c r="S59" s="211">
        <f t="shared" si="3"/>
        <v>0</v>
      </c>
      <c r="T59" s="211">
        <f t="shared" si="4"/>
        <v>0</v>
      </c>
      <c r="U59" s="220">
        <f t="shared" si="5"/>
        <v>0</v>
      </c>
      <c r="V59" s="212">
        <f t="shared" si="6"/>
      </c>
      <c r="W59" s="233" t="s">
        <v>54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7"/>
      </c>
    </row>
    <row r="60" spans="1:54" ht="12.75" customHeight="1">
      <c r="A60" s="232" t="s">
        <v>54</v>
      </c>
      <c r="B60" s="229"/>
      <c r="C60" s="230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7">
        <f>IF(D60="",,VLOOKUP(D60,D$22:D59,1,0))</f>
        <v>0</v>
      </c>
      <c r="F60" s="224">
        <f t="shared" si="0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19"/>
      <c r="M60" s="219"/>
      <c r="N60" s="219"/>
      <c r="O60" s="209"/>
      <c r="P60" s="20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1"/>
      </c>
      <c r="R60" s="211">
        <f t="shared" si="2"/>
      </c>
      <c r="S60" s="211">
        <f t="shared" si="3"/>
        <v>0</v>
      </c>
      <c r="T60" s="211">
        <f t="shared" si="4"/>
        <v>0</v>
      </c>
      <c r="U60" s="220">
        <f t="shared" si="5"/>
        <v>0</v>
      </c>
      <c r="V60" s="212">
        <f t="shared" si="6"/>
      </c>
      <c r="W60" s="213" t="s">
        <v>54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7"/>
      </c>
    </row>
    <row r="61" spans="1:54" ht="12.75" customHeight="1">
      <c r="A61" s="232" t="s">
        <v>54</v>
      </c>
      <c r="B61" s="229"/>
      <c r="C61" s="230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7">
        <f>IF(D61="",,VLOOKUP(D61,D$22:D60,1,0))</f>
        <v>0</v>
      </c>
      <c r="F61" s="224">
        <f t="shared" si="0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1"/>
      </c>
      <c r="R61" s="211">
        <f t="shared" si="2"/>
      </c>
      <c r="S61" s="211">
        <f t="shared" si="3"/>
        <v>0</v>
      </c>
      <c r="T61" s="211">
        <f t="shared" si="4"/>
        <v>0</v>
      </c>
      <c r="U61" s="220">
        <f t="shared" si="5"/>
        <v>0</v>
      </c>
      <c r="V61" s="212">
        <f t="shared" si="6"/>
      </c>
      <c r="W61" s="213" t="s">
        <v>54</v>
      </c>
      <c r="X61" s="213"/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7"/>
      </c>
    </row>
    <row r="62" spans="1:54" ht="12.75" customHeight="1">
      <c r="A62" s="234" t="s">
        <v>54</v>
      </c>
      <c r="B62" s="229"/>
      <c r="C62" s="230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7">
        <f>IF(D62="",,VLOOKUP(D62,D$22:D61,1,0))</f>
        <v>0</v>
      </c>
      <c r="F62" s="224">
        <f t="shared" si="0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1"/>
      </c>
      <c r="R62" s="211">
        <f t="shared" si="2"/>
      </c>
      <c r="S62" s="211">
        <f t="shared" si="3"/>
        <v>0</v>
      </c>
      <c r="T62" s="211">
        <f t="shared" si="4"/>
        <v>0</v>
      </c>
      <c r="U62" s="220">
        <f t="shared" si="5"/>
        <v>0</v>
      </c>
      <c r="V62" s="212">
        <f t="shared" si="6"/>
      </c>
      <c r="W62" s="213" t="s">
        <v>54</v>
      </c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7"/>
      </c>
    </row>
    <row r="63" spans="1:54" ht="12.75" hidden="1">
      <c r="A63" s="221" t="s">
        <v>54</v>
      </c>
      <c r="B63" s="222"/>
      <c r="C63" s="223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7">
        <f>IF(D63="",,VLOOKUP(D63,D$22:D62,1,0))</f>
        <v>0</v>
      </c>
      <c r="F63" s="224">
        <f t="shared" si="0"/>
        <v>0</v>
      </c>
      <c r="G63" s="235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6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1"/>
      </c>
      <c r="R63" s="211">
        <f t="shared" si="2"/>
      </c>
      <c r="S63" s="211">
        <f t="shared" si="3"/>
        <v>0</v>
      </c>
      <c r="T63" s="211">
        <f t="shared" si="4"/>
        <v>0</v>
      </c>
      <c r="U63" s="220">
        <f t="shared" si="5"/>
        <v>0</v>
      </c>
      <c r="V63" s="212">
        <f t="shared" si="6"/>
      </c>
      <c r="W63" s="213" t="s">
        <v>54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7"/>
      </c>
    </row>
    <row r="64" spans="1:54" ht="12.75" customHeight="1" hidden="1">
      <c r="A64" s="221" t="s">
        <v>54</v>
      </c>
      <c r="B64" s="222"/>
      <c r="C64" s="223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7">
        <f>IF(D64="",,VLOOKUP(D64,D$22:D52,1,0))</f>
        <v>0</v>
      </c>
      <c r="F64" s="224">
        <f t="shared" si="0"/>
        <v>0</v>
      </c>
      <c r="G64" s="237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8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1"/>
      </c>
      <c r="R64" s="211">
        <f t="shared" si="2"/>
      </c>
      <c r="S64" s="211">
        <f t="shared" si="3"/>
        <v>0</v>
      </c>
      <c r="T64" s="211">
        <f t="shared" si="4"/>
        <v>0</v>
      </c>
      <c r="U64" s="220">
        <f t="shared" si="5"/>
        <v>0</v>
      </c>
      <c r="V64" s="212">
        <f t="shared" si="6"/>
      </c>
      <c r="W64" s="213" t="s">
        <v>54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7"/>
      </c>
    </row>
    <row r="65" spans="1:54" ht="12.75" hidden="1">
      <c r="A65" s="221" t="s">
        <v>54</v>
      </c>
      <c r="B65" s="222"/>
      <c r="C65" s="223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7">
        <f>IF(D65="",,VLOOKUP(D65,D$22:D53,1,0))</f>
        <v>0</v>
      </c>
      <c r="F65" s="224">
        <f t="shared" si="0"/>
        <v>0</v>
      </c>
      <c r="G65" s="237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8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1"/>
      </c>
      <c r="R65" s="211">
        <f t="shared" si="2"/>
      </c>
      <c r="S65" s="211">
        <f t="shared" si="3"/>
        <v>0</v>
      </c>
      <c r="T65" s="211">
        <f t="shared" si="4"/>
        <v>0</v>
      </c>
      <c r="U65" s="220">
        <f t="shared" si="5"/>
        <v>0</v>
      </c>
      <c r="V65" s="212">
        <f t="shared" si="6"/>
      </c>
      <c r="W65" s="213" t="s">
        <v>54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7"/>
      </c>
    </row>
    <row r="66" spans="1:54" ht="12.75" hidden="1">
      <c r="A66" s="221" t="s">
        <v>54</v>
      </c>
      <c r="B66" s="222"/>
      <c r="C66" s="223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7">
        <f>IF(D66="",,VLOOKUP(D66,D$22:D51,1,0))</f>
        <v>0</v>
      </c>
      <c r="F66" s="224">
        <f t="shared" si="0"/>
        <v>0</v>
      </c>
      <c r="G66" s="237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8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1"/>
      </c>
      <c r="R66" s="211">
        <f t="shared" si="2"/>
      </c>
      <c r="S66" s="211">
        <f t="shared" si="3"/>
        <v>0</v>
      </c>
      <c r="T66" s="211">
        <f t="shared" si="4"/>
        <v>0</v>
      </c>
      <c r="U66" s="220">
        <f t="shared" si="5"/>
        <v>0</v>
      </c>
      <c r="V66" s="212">
        <f t="shared" si="6"/>
      </c>
      <c r="W66" s="213" t="s">
        <v>54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7"/>
      </c>
    </row>
    <row r="67" spans="1:54" ht="12.75" hidden="1">
      <c r="A67" s="221" t="s">
        <v>54</v>
      </c>
      <c r="B67" s="222"/>
      <c r="C67" s="223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7">
        <f>IF(D67="",,VLOOKUP(D67,D$22:D52,1,0))</f>
        <v>0</v>
      </c>
      <c r="F67" s="224">
        <f t="shared" si="0"/>
        <v>0</v>
      </c>
      <c r="G67" s="237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8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1"/>
      </c>
      <c r="R67" s="211">
        <f t="shared" si="2"/>
      </c>
      <c r="S67" s="211">
        <f t="shared" si="3"/>
        <v>0</v>
      </c>
      <c r="T67" s="211">
        <f t="shared" si="4"/>
        <v>0</v>
      </c>
      <c r="U67" s="220">
        <f t="shared" si="5"/>
        <v>0</v>
      </c>
      <c r="V67" s="212">
        <f t="shared" si="6"/>
      </c>
      <c r="W67" s="213" t="s">
        <v>54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7"/>
      </c>
    </row>
    <row r="68" spans="1:54" ht="12.75" hidden="1">
      <c r="A68" s="221" t="s">
        <v>54</v>
      </c>
      <c r="B68" s="222"/>
      <c r="C68" s="223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7">
        <f>IF(D68="",,VLOOKUP(D68,D$22:D53,1,0))</f>
        <v>0</v>
      </c>
      <c r="F68" s="224">
        <f t="shared" si="0"/>
        <v>0</v>
      </c>
      <c r="G68" s="237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8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1"/>
      </c>
      <c r="R68" s="211">
        <f t="shared" si="2"/>
      </c>
      <c r="S68" s="211">
        <f t="shared" si="3"/>
        <v>0</v>
      </c>
      <c r="T68" s="211">
        <f t="shared" si="4"/>
        <v>0</v>
      </c>
      <c r="U68" s="220">
        <f t="shared" si="5"/>
        <v>0</v>
      </c>
      <c r="V68" s="212">
        <f t="shared" si="6"/>
      </c>
      <c r="W68" s="213" t="s">
        <v>54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7"/>
      </c>
    </row>
    <row r="69" spans="1:54" ht="12.75" hidden="1">
      <c r="A69" s="221" t="s">
        <v>54</v>
      </c>
      <c r="B69" s="222"/>
      <c r="C69" s="223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7">
        <f>IF(D69="",,VLOOKUP(D69,D$22:D54,1,0))</f>
        <v>0</v>
      </c>
      <c r="F69" s="224">
        <f t="shared" si="0"/>
        <v>0</v>
      </c>
      <c r="G69" s="237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8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1"/>
      </c>
      <c r="R69" s="211">
        <f t="shared" si="2"/>
      </c>
      <c r="S69" s="211">
        <f t="shared" si="3"/>
        <v>0</v>
      </c>
      <c r="T69" s="211">
        <f t="shared" si="4"/>
        <v>0</v>
      </c>
      <c r="U69" s="220">
        <f t="shared" si="5"/>
        <v>0</v>
      </c>
      <c r="V69" s="212">
        <f t="shared" si="6"/>
      </c>
      <c r="W69" s="213" t="s">
        <v>54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7"/>
      </c>
    </row>
    <row r="70" spans="1:54" ht="12.75" hidden="1">
      <c r="A70" s="221" t="s">
        <v>54</v>
      </c>
      <c r="B70" s="222"/>
      <c r="C70" s="223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7">
        <f>IF(D70="",,VLOOKUP(D70,D$22:D55,1,0))</f>
        <v>0</v>
      </c>
      <c r="F70" s="224">
        <f t="shared" si="0"/>
        <v>0</v>
      </c>
      <c r="G70" s="237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8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1"/>
      </c>
      <c r="R70" s="211">
        <f t="shared" si="2"/>
      </c>
      <c r="S70" s="211">
        <f t="shared" si="3"/>
        <v>0</v>
      </c>
      <c r="T70" s="211">
        <f t="shared" si="4"/>
        <v>0</v>
      </c>
      <c r="U70" s="220">
        <f t="shared" si="5"/>
        <v>0</v>
      </c>
      <c r="V70" s="212">
        <f t="shared" si="6"/>
      </c>
      <c r="W70" s="213" t="s">
        <v>54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7"/>
      </c>
    </row>
    <row r="71" spans="1:54" ht="12.75" hidden="1">
      <c r="A71" s="221" t="s">
        <v>54</v>
      </c>
      <c r="B71" s="222"/>
      <c r="C71" s="223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7">
        <f>IF(D71="",,VLOOKUP(D71,D$22:D56,1,0))</f>
        <v>0</v>
      </c>
      <c r="F71" s="224">
        <f t="shared" si="0"/>
        <v>0</v>
      </c>
      <c r="G71" s="237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8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1"/>
      </c>
      <c r="R71" s="211">
        <f t="shared" si="2"/>
      </c>
      <c r="S71" s="211">
        <f t="shared" si="3"/>
        <v>0</v>
      </c>
      <c r="T71" s="211">
        <f t="shared" si="4"/>
        <v>0</v>
      </c>
      <c r="U71" s="220">
        <f t="shared" si="5"/>
        <v>0</v>
      </c>
      <c r="V71" s="212">
        <f t="shared" si="6"/>
      </c>
      <c r="W71" s="213" t="s">
        <v>54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7"/>
      </c>
    </row>
    <row r="72" spans="1:54" ht="12.75" hidden="1">
      <c r="A72" s="221" t="s">
        <v>54</v>
      </c>
      <c r="B72" s="222"/>
      <c r="C72" s="223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7">
        <f>IF(D72="",,VLOOKUP(D72,D$22:D57,1,0))</f>
        <v>0</v>
      </c>
      <c r="F72" s="224">
        <f t="shared" si="0"/>
        <v>0</v>
      </c>
      <c r="G72" s="237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8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1"/>
      </c>
      <c r="R72" s="211">
        <f t="shared" si="2"/>
      </c>
      <c r="S72" s="211">
        <f t="shared" si="3"/>
        <v>0</v>
      </c>
      <c r="T72" s="211">
        <f t="shared" si="4"/>
        <v>0</v>
      </c>
      <c r="U72" s="220">
        <f t="shared" si="5"/>
        <v>0</v>
      </c>
      <c r="V72" s="212">
        <f t="shared" si="6"/>
      </c>
      <c r="W72" s="213" t="s">
        <v>54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7"/>
      </c>
    </row>
    <row r="73" spans="1:54" ht="12.75" hidden="1">
      <c r="A73" s="221" t="s">
        <v>54</v>
      </c>
      <c r="B73" s="222"/>
      <c r="C73" s="223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7">
        <f>IF(D73="",,VLOOKUP(D73,D$22:D57,1,0))</f>
        <v>0</v>
      </c>
      <c r="F73" s="224">
        <f t="shared" si="0"/>
        <v>0</v>
      </c>
      <c r="G73" s="237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8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1"/>
      </c>
      <c r="R73" s="211">
        <f t="shared" si="2"/>
      </c>
      <c r="S73" s="211">
        <f t="shared" si="3"/>
        <v>0</v>
      </c>
      <c r="T73" s="211">
        <f t="shared" si="4"/>
        <v>0</v>
      </c>
      <c r="U73" s="220">
        <f t="shared" si="5"/>
        <v>0</v>
      </c>
      <c r="V73" s="212">
        <f t="shared" si="6"/>
      </c>
      <c r="W73" s="213" t="s">
        <v>54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7"/>
      </c>
    </row>
    <row r="74" spans="1:54" ht="12.75" hidden="1">
      <c r="A74" s="221" t="s">
        <v>54</v>
      </c>
      <c r="B74" s="222"/>
      <c r="C74" s="223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7">
        <f>IF(D74="",,VLOOKUP(D74,D$22:D58,1,0))</f>
        <v>0</v>
      </c>
      <c r="F74" s="224">
        <f t="shared" si="0"/>
        <v>0</v>
      </c>
      <c r="G74" s="237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8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1"/>
      </c>
      <c r="R74" s="211">
        <f t="shared" si="2"/>
      </c>
      <c r="S74" s="211">
        <f t="shared" si="3"/>
        <v>0</v>
      </c>
      <c r="T74" s="211">
        <f t="shared" si="4"/>
        <v>0</v>
      </c>
      <c r="U74" s="220">
        <f t="shared" si="5"/>
        <v>0</v>
      </c>
      <c r="V74" s="212">
        <f t="shared" si="6"/>
      </c>
      <c r="W74" s="213" t="s">
        <v>54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7"/>
      </c>
    </row>
    <row r="75" spans="1:54" ht="12.75" hidden="1">
      <c r="A75" s="221" t="s">
        <v>54</v>
      </c>
      <c r="B75" s="222"/>
      <c r="C75" s="223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7">
        <f>IF(D75="",,VLOOKUP(D75,D$22:D59,1,0))</f>
        <v>0</v>
      </c>
      <c r="F75" s="224">
        <f t="shared" si="0"/>
        <v>0</v>
      </c>
      <c r="G75" s="237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8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1"/>
      </c>
      <c r="R75" s="211">
        <f t="shared" si="2"/>
      </c>
      <c r="S75" s="211">
        <f t="shared" si="3"/>
        <v>0</v>
      </c>
      <c r="T75" s="211">
        <f t="shared" si="4"/>
        <v>0</v>
      </c>
      <c r="U75" s="220">
        <f t="shared" si="5"/>
        <v>0</v>
      </c>
      <c r="V75" s="212">
        <f t="shared" si="6"/>
      </c>
      <c r="W75" s="213" t="s">
        <v>54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7"/>
      </c>
    </row>
    <row r="76" spans="1:54" ht="12.75" hidden="1">
      <c r="A76" s="221" t="s">
        <v>54</v>
      </c>
      <c r="B76" s="222"/>
      <c r="C76" s="223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7">
        <f>IF(D76="",,VLOOKUP(D76,D$22:D59,1,0))</f>
        <v>0</v>
      </c>
      <c r="F76" s="224">
        <f t="shared" si="0"/>
        <v>0</v>
      </c>
      <c r="G76" s="237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8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1"/>
      </c>
      <c r="R76" s="211">
        <f t="shared" si="2"/>
      </c>
      <c r="S76" s="211">
        <f t="shared" si="3"/>
        <v>0</v>
      </c>
      <c r="T76" s="211">
        <f t="shared" si="4"/>
        <v>0</v>
      </c>
      <c r="U76" s="220">
        <f t="shared" si="5"/>
        <v>0</v>
      </c>
      <c r="V76" s="212">
        <f t="shared" si="6"/>
      </c>
      <c r="W76" s="213" t="s">
        <v>54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7"/>
      </c>
    </row>
    <row r="77" spans="1:54" ht="12.75" hidden="1">
      <c r="A77" s="221" t="s">
        <v>54</v>
      </c>
      <c r="B77" s="222"/>
      <c r="C77" s="223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7">
        <f>IF(D77="",,VLOOKUP(D77,D$22:D75,1,0))</f>
        <v>0</v>
      </c>
      <c r="F77" s="224">
        <f t="shared" si="0"/>
        <v>0</v>
      </c>
      <c r="G77" s="237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8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1"/>
      </c>
      <c r="R77" s="211">
        <f t="shared" si="2"/>
      </c>
      <c r="S77" s="211">
        <f t="shared" si="3"/>
        <v>0</v>
      </c>
      <c r="T77" s="211">
        <f t="shared" si="4"/>
        <v>0</v>
      </c>
      <c r="U77" s="220">
        <f t="shared" si="5"/>
        <v>0</v>
      </c>
      <c r="V77" s="212">
        <f t="shared" si="6"/>
      </c>
      <c r="W77" s="213" t="s">
        <v>54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7"/>
      </c>
    </row>
    <row r="78" spans="1:54" ht="12.75" hidden="1">
      <c r="A78" s="221" t="s">
        <v>54</v>
      </c>
      <c r="B78" s="222"/>
      <c r="C78" s="223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7">
        <f>IF(D78="",,VLOOKUP(D78,D$22:D75,1,0))</f>
        <v>0</v>
      </c>
      <c r="F78" s="224">
        <f t="shared" si="0"/>
        <v>0</v>
      </c>
      <c r="G78" s="237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8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1"/>
      </c>
      <c r="R78" s="211">
        <f t="shared" si="2"/>
      </c>
      <c r="S78" s="211">
        <f t="shared" si="3"/>
        <v>0</v>
      </c>
      <c r="T78" s="211">
        <f t="shared" si="4"/>
        <v>0</v>
      </c>
      <c r="U78" s="220">
        <f t="shared" si="5"/>
        <v>0</v>
      </c>
      <c r="V78" s="212">
        <f t="shared" si="6"/>
      </c>
      <c r="W78" s="213" t="s">
        <v>54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7"/>
      </c>
    </row>
    <row r="79" spans="1:54" ht="12.75" hidden="1">
      <c r="A79" s="221" t="s">
        <v>54</v>
      </c>
      <c r="B79" s="222"/>
      <c r="C79" s="223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7">
        <f>IF(D79="",,VLOOKUP(D79,D$22:D75,1,0))</f>
        <v>0</v>
      </c>
      <c r="F79" s="224">
        <f t="shared" si="0"/>
        <v>0</v>
      </c>
      <c r="G79" s="237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8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1"/>
      </c>
      <c r="R79" s="211">
        <f t="shared" si="2"/>
      </c>
      <c r="S79" s="211">
        <f t="shared" si="3"/>
        <v>0</v>
      </c>
      <c r="T79" s="211">
        <f t="shared" si="4"/>
        <v>0</v>
      </c>
      <c r="U79" s="220">
        <f t="shared" si="5"/>
        <v>0</v>
      </c>
      <c r="V79" s="212">
        <f t="shared" si="6"/>
      </c>
      <c r="W79" s="213" t="s">
        <v>54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7"/>
      </c>
    </row>
    <row r="80" spans="1:54" ht="12.75" hidden="1">
      <c r="A80" s="221" t="s">
        <v>54</v>
      </c>
      <c r="B80" s="222"/>
      <c r="C80" s="223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7">
        <f>IF(D80="",,VLOOKUP(D80,D$22:D79,1,0))</f>
        <v>0</v>
      </c>
      <c r="F80" s="224">
        <f t="shared" si="0"/>
        <v>0</v>
      </c>
      <c r="G80" s="237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8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1"/>
      </c>
      <c r="R80" s="211">
        <f t="shared" si="2"/>
      </c>
      <c r="S80" s="211">
        <f t="shared" si="3"/>
        <v>0</v>
      </c>
      <c r="T80" s="211">
        <f t="shared" si="4"/>
        <v>0</v>
      </c>
      <c r="U80" s="220">
        <f t="shared" si="5"/>
        <v>0</v>
      </c>
      <c r="V80" s="212">
        <f t="shared" si="6"/>
      </c>
      <c r="W80" s="213" t="s">
        <v>54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7"/>
      </c>
    </row>
    <row r="81" spans="1:54" ht="12.75" hidden="1">
      <c r="A81" s="221" t="s">
        <v>54</v>
      </c>
      <c r="B81" s="222"/>
      <c r="C81" s="223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7">
        <f>IF(D81="",,VLOOKUP(D81,D$21:D80,1,0))</f>
        <v>0</v>
      </c>
      <c r="F81" s="224">
        <f t="shared" si="0"/>
        <v>0</v>
      </c>
      <c r="G81" s="237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8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6"/>
      <c r="M81" s="226"/>
      <c r="N81" s="226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1"/>
      </c>
      <c r="R81" s="211">
        <f t="shared" si="2"/>
      </c>
      <c r="S81" s="211">
        <f t="shared" si="3"/>
        <v>0</v>
      </c>
      <c r="T81" s="211">
        <f t="shared" si="4"/>
        <v>0</v>
      </c>
      <c r="U81" s="220">
        <f t="shared" si="5"/>
        <v>0</v>
      </c>
      <c r="V81" s="212">
        <f t="shared" si="6"/>
      </c>
      <c r="W81" s="213" t="s">
        <v>54</v>
      </c>
      <c r="X81" s="239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7"/>
      </c>
    </row>
    <row r="82" spans="1:54" ht="12.75" hidden="1">
      <c r="A82" s="240" t="s">
        <v>54</v>
      </c>
      <c r="B82" s="241"/>
      <c r="C82" s="242"/>
      <c r="D82" s="243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4">
        <f>IF(D82="",,VLOOKUP(D82,D$20:D80,1,0))</f>
        <v>0</v>
      </c>
      <c r="F82" s="245">
        <f t="shared" si="0"/>
        <v>0</v>
      </c>
      <c r="G82" s="246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7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8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9"/>
      <c r="M82" s="249"/>
      <c r="N82" s="249"/>
      <c r="O82" s="250"/>
      <c r="P82" s="251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1"/>
      </c>
      <c r="R82" s="211">
        <f t="shared" si="2"/>
      </c>
      <c r="S82" s="211">
        <f t="shared" si="3"/>
        <v>0</v>
      </c>
      <c r="T82" s="211">
        <f t="shared" si="4"/>
        <v>0</v>
      </c>
      <c r="U82" s="220">
        <f t="shared" si="5"/>
        <v>0</v>
      </c>
      <c r="V82" s="212">
        <f t="shared" si="6"/>
      </c>
      <c r="W82" s="252" t="s">
        <v>54</v>
      </c>
      <c r="X82" s="253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7"/>
      </c>
    </row>
    <row r="83" spans="1:30" ht="15" hidden="1">
      <c r="A83" s="254" t="s">
        <v>85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5"/>
      <c r="Q83" s="255"/>
      <c r="R83" s="255"/>
      <c r="S83" s="255"/>
      <c r="T83" s="8"/>
      <c r="U83" s="8"/>
      <c r="V83" s="255"/>
      <c r="W83" s="255"/>
      <c r="X83" s="255"/>
      <c r="Y83" s="273"/>
      <c r="Z83" s="273"/>
      <c r="AA83" s="256"/>
      <c r="AB83" s="257"/>
      <c r="AC83" s="257"/>
      <c r="AD83" s="257"/>
    </row>
    <row r="84" spans="1:30" ht="12.75" hidden="1">
      <c r="A84" s="258" t="str">
        <f>A3</f>
        <v>GIERS</v>
      </c>
      <c r="B84" s="259" t="str">
        <f>C3</f>
        <v>GIERS A LA VAL EN GIERS</v>
      </c>
      <c r="C84" s="260">
        <f>A4</f>
        <v>41820</v>
      </c>
      <c r="D84" s="261">
        <f>IF(ISERROR(SUM($T$23:$T$82)/SUM($U$23:$U$82)),"",SUM($T$23:$T$82)/SUM($U$23:$U$82))</f>
        <v>16.346153846153847</v>
      </c>
      <c r="E84" s="262">
        <f>N13</f>
        <v>8</v>
      </c>
      <c r="F84" s="259">
        <f>N14</f>
        <v>7</v>
      </c>
      <c r="G84" s="259">
        <f>N15</f>
        <v>1</v>
      </c>
      <c r="H84" s="259">
        <f>N16</f>
        <v>3</v>
      </c>
      <c r="I84" s="259">
        <f>N17</f>
        <v>3</v>
      </c>
      <c r="J84" s="263">
        <f>N8</f>
        <v>15.285714285714286</v>
      </c>
      <c r="K84" s="261">
        <f>N9</f>
        <v>2.1852940772540506</v>
      </c>
      <c r="L84" s="262">
        <f>N10</f>
        <v>12</v>
      </c>
      <c r="M84" s="262">
        <f>N11</f>
        <v>19</v>
      </c>
      <c r="N84" s="261">
        <f>O8</f>
        <v>2.2857142857142856</v>
      </c>
      <c r="O84" s="261">
        <f>O9</f>
        <v>0.6998542122237652</v>
      </c>
      <c r="P84" s="262">
        <f>O10</f>
        <v>1</v>
      </c>
      <c r="Q84" s="262">
        <f>O11</f>
        <v>3</v>
      </c>
      <c r="R84" s="262">
        <f>F21</f>
        <v>2.4639999999999995</v>
      </c>
      <c r="S84" s="262">
        <f>K11</f>
        <v>0</v>
      </c>
      <c r="T84" s="262">
        <f>K12</f>
        <v>2</v>
      </c>
      <c r="U84" s="262">
        <f>K13</f>
        <v>5</v>
      </c>
      <c r="V84" s="264">
        <f>K14</f>
        <v>0</v>
      </c>
      <c r="W84" s="265">
        <f>K15</f>
        <v>1</v>
      </c>
      <c r="Z84" s="266"/>
      <c r="AA84" s="266"/>
      <c r="AB84" s="257"/>
      <c r="AC84" s="257"/>
      <c r="AD84" s="257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7" t="s">
        <v>86</v>
      </c>
      <c r="R86" s="8"/>
      <c r="S86" s="212"/>
      <c r="T86" s="8"/>
      <c r="U86" s="8"/>
      <c r="V86" s="8"/>
    </row>
    <row r="87" spans="16:22" ht="12.75" hidden="1">
      <c r="P87" s="8"/>
      <c r="Q87" s="8" t="s">
        <v>87</v>
      </c>
      <c r="R87" s="8"/>
      <c r="S87" s="212">
        <f>VLOOKUP(MAX($S$23:$S$82),($S$23:$U$82),1,0)</f>
        <v>51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12">
        <f>VLOOKUP((S87),($S$23:$U$82),2,0)</f>
        <v>153</v>
      </c>
      <c r="T88" s="8"/>
      <c r="U88" s="8"/>
      <c r="V88" s="8"/>
    </row>
    <row r="89" spans="17:20" ht="12.75" hidden="1">
      <c r="Q89" s="8" t="s">
        <v>89</v>
      </c>
      <c r="R89" s="8"/>
      <c r="S89" s="212">
        <f>VLOOKUP((S87),($S$23:$U$82),3,0)</f>
        <v>9</v>
      </c>
      <c r="T89" s="8"/>
    </row>
    <row r="90" spans="17:20" ht="12.75">
      <c r="Q90" s="8" t="s">
        <v>90</v>
      </c>
      <c r="R90" s="8"/>
      <c r="S90" s="268">
        <f>IF(ISERROR(SUM($T$23:$T$82)/SUM($U$23:$U$82)),"",(SUM($T$23:$T$82)-S88)/(SUM($U$23:$U$82)-S89))</f>
        <v>16</v>
      </c>
      <c r="T90" s="8"/>
    </row>
    <row r="91" spans="17:21" ht="12.75">
      <c r="Q91" s="211" t="s">
        <v>91</v>
      </c>
      <c r="R91" s="211"/>
      <c r="S91" s="211" t="str">
        <f>INDEX('[1]liste reference'!$A$8:$A$904,$T$91)</f>
        <v>SCAUND</v>
      </c>
      <c r="T91" s="8">
        <f>IF(ISERROR(MATCH($S$93,'[1]liste reference'!$A$8:$A$904,0)),MATCH($S$93,'[1]liste reference'!$B$8:$B$904,0),(MATCH($S$93,'[1]liste reference'!$A$8:$A$904,0)))</f>
        <v>144</v>
      </c>
      <c r="U91" s="257"/>
    </row>
    <row r="92" spans="17:20" ht="12.75">
      <c r="Q92" s="8" t="s">
        <v>92</v>
      </c>
      <c r="R92" s="8"/>
      <c r="S92" s="8">
        <f>MATCH(S87,$S$23:$S$82,0)</f>
        <v>3</v>
      </c>
      <c r="T92" s="8"/>
    </row>
    <row r="93" spans="17:20" ht="12.75">
      <c r="Q93" s="211" t="s">
        <v>93</v>
      </c>
      <c r="R93" s="8"/>
      <c r="S93" s="211" t="str">
        <f>INDEX($A$23:$A$82,$S$92)</f>
        <v>SCAUND</v>
      </c>
      <c r="T93" s="8"/>
    </row>
    <row r="94" ht="12.75">
      <c r="S94" s="257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31:A82">
    <cfRule type="expression" priority="6" dxfId="1" stopIfTrue="1">
      <formula>ISTEXT($E31)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30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2015-02-02T11:14:51Z</dcterms:created>
  <dcterms:modified xsi:type="dcterms:W3CDTF">2015-02-02T11:23:19Z</dcterms:modified>
  <cp:category/>
  <cp:version/>
  <cp:contentType/>
  <cp:contentStatus/>
</cp:coreProperties>
</file>