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<sst xmlns="http://schemas.openxmlformats.org/spreadsheetml/2006/main" count="217" uniqueCount="105">
  <si>
    <t>Relevés floristiques aquatiques - IBMR</t>
  </si>
  <si>
    <t>modèle Irstea-GIS</t>
  </si>
  <si>
    <t>SAGE ENVIRONNEMENT</t>
  </si>
  <si>
    <t>CBERNARD S RENAHY</t>
  </si>
  <si>
    <t>EAU MORTE</t>
  </si>
  <si>
    <t>EAU MORTE A DOUSSARD</t>
  </si>
  <si>
    <t>06830079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</si>
  <si>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</si>
  <si>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</si>
  <si>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</si>
  <si>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</si>
  <si>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</si>
  <si>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</si>
  <si>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</si>
  <si>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</si>
  <si>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</si>
  <si>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CINAQU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</si>
  <si>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</si>
  <si>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</si>
  <si>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</si>
  <si>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</si>
  <si>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</si>
  <si>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</si>
  <si>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</si>
  <si>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</si>
  <si>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</si>
  <si>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</si>
  <si>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</si>
  <si>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</si>
  <si>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</si>
  <si>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</si>
  <si>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</si>
  <si>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</si>
  <si>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</si>
  <si>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</si>
  <si>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</si>
  <si>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</si>
  <si>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</si>
  <si>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</si>
  <si>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</si>
  <si>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</si>
  <si>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</si>
  <si>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</si>
  <si>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</si>
  <si>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</si>
  <si>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</si>
  <si>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</si>
  <si>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</si>
  <si>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</si>
  <si>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</si>
  <si>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</si>
  <si>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</si>
  <si>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</si>
  <si>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</si>
  <si>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</si>
  <si>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</si>
  <si>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</si>
  <si>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</si>
  <si>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</si>
  <si>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</si>
  <si>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</si>
  <si>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</si>
  <si>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</si>
  <si>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</si>
  <si>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</si>
  <si>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</si>
  <si>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</si>
  <si>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</si>
  <si>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</si>
  <si>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</si>
  <si>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</si>
  <si>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</si>
  <si>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</si>
  <si>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</si>
  <si>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</si>
  <si>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</si>
  <si>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</si>
  <si>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</si>
  <si>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</si>
  <si>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</si>
  <si>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</si>
  <si>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</si>
  <si>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</si>
  <si>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DIASPX</t>
  </si>
  <si>
    <t>NOSSPX</t>
  </si>
  <si>
    <t>RHISPX</t>
  </si>
  <si>
    <t>ULOSPX</t>
  </si>
  <si>
    <t>VAUSPX</t>
  </si>
  <si>
    <t>PELEND</t>
  </si>
  <si>
    <t>CINFON</t>
  </si>
  <si>
    <t>CINRIP</t>
  </si>
  <si>
    <t>FISCRA</t>
  </si>
  <si>
    <t>FONANT</t>
  </si>
  <si>
    <t>HYATEN</t>
  </si>
  <si>
    <t>LEORIP</t>
  </si>
  <si>
    <t>PALCOM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</si>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</sst>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EAUMO_01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42186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11.205882352941176</v>
      </c>
      <c r="N5" s="50"/>
      <c r="O5" s="51" t="s">
        <v>16</v>
      </c>
      <c r="P5" s="52">
        <v>10.7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3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85</v>
      </c>
      <c r="C7" s="68">
        <v>15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10.266666666666667</v>
      </c>
      <c r="P8" s="85">
        <f>IF(ISERROR(AVERAGE(K23:K82)),"  ",AVERAGE(K23:K82))</f>
        <v>1.6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2.69</v>
      </c>
      <c r="C9" s="88">
        <v>11.04</v>
      </c>
      <c r="D9" s="89"/>
      <c r="E9" s="89"/>
      <c r="F9" s="90">
        <f>($B9*$B$7+$C9*$C$7)/100</f>
        <v>3.9425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3.767698973585278</v>
      </c>
      <c r="P9" s="85">
        <f>IF(ISERROR(STDEVP(K23:K82)),"  ",STDEVP(K23:K82))</f>
        <v>0.4898979485566356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0.07</v>
      </c>
      <c r="C12" s="114">
        <v>0.03</v>
      </c>
      <c r="D12" s="89"/>
      <c r="E12" s="89"/>
      <c r="F12" s="106">
        <f>($B12*$B$7+$C12*$C$7)/100</f>
        <v>0.064</v>
      </c>
      <c r="G12" s="107"/>
      <c r="H12" s="56"/>
      <c r="I12" s="5"/>
      <c r="J12" s="108" t="s">
        <v>39</v>
      </c>
      <c r="K12" s="109"/>
      <c r="L12" s="110">
        <f>COUNTIF($G$23:$G$82,"=ALG")</f>
        <v>6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/>
      <c r="C13" s="114"/>
      <c r="D13" s="89"/>
      <c r="E13" s="89"/>
      <c r="F13" s="106">
        <f>($B13*$B$7+$C13*$C$7)/100</f>
        <v>0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10</v>
      </c>
      <c r="M13" s="111"/>
      <c r="N13" s="120" t="s">
        <v>42</v>
      </c>
      <c r="O13" s="121">
        <f>COUNTIF(F23:F82,"&gt;0")</f>
        <v>16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>
        <v>2.62</v>
      </c>
      <c r="C14" s="114">
        <v>11.01</v>
      </c>
      <c r="D14" s="89"/>
      <c r="E14" s="89"/>
      <c r="F14" s="106">
        <f>($B14*$B$7+$C14*$C$7)/100</f>
        <v>3.8785000000000003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15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6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9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2.69</v>
      </c>
      <c r="C17" s="114">
        <v>11.04</v>
      </c>
      <c r="D17" s="89"/>
      <c r="E17" s="89"/>
      <c r="F17" s="133"/>
      <c r="G17" s="134">
        <f>($B17*$B$7+$C17*$C$7)/100</f>
        <v>3.9425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0.9375</v>
      </c>
      <c r="N17" s="120" t="s">
        <v>53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3.9425000000000003</v>
      </c>
      <c r="G19" s="157">
        <f>SUM(G16:G18)</f>
        <v>3.9425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2.6900000000000004</v>
      </c>
      <c r="C20" s="167">
        <f>SUM(C23:C62)</f>
        <v>11.040000000000001</v>
      </c>
      <c r="D20" s="168"/>
      <c r="E20" s="169" t="s">
        <v>55</v>
      </c>
      <c r="F20" s="170">
        <f>($B20*$B$7+$C20*$C$7)/100</f>
        <v>3.942500000000001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2.2865</v>
      </c>
      <c r="C21" s="178">
        <f>C20*C7/100</f>
        <v>1.6560000000000001</v>
      </c>
      <c r="D21" s="179" t="s">
        <v>59</v>
      </c>
      <c r="E21" s="180"/>
      <c r="F21" s="181">
        <f>B21+C21</f>
        <v>3.9425000000000003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0.01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0.0085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0.0085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6</v>
      </c>
      <c r="U23" s="220">
        <f aca="true" t="shared" si="5" ref="U23:U82">IF(ISERROR(S23*J23*K23),0,S23*J23*K23)</f>
        <v>6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83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Diatoma sp.</v>
      </c>
      <c r="E24" s="228" t="e">
        <f>IF(D24="",,VLOOKUP(D24,D$22:D23,1,0))</f>
        <v>#N/A</v>
      </c>
      <c r="F24" s="229">
        <f t="shared" si="0"/>
        <v>0.0085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12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Diatoma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6627</v>
      </c>
      <c r="R24" s="219">
        <f t="shared" si="2"/>
        <v>0.0085</v>
      </c>
      <c r="S24" s="220">
        <f t="shared" si="3"/>
        <v>1</v>
      </c>
      <c r="T24" s="220">
        <f t="shared" si="4"/>
        <v>12</v>
      </c>
      <c r="U24" s="220">
        <f t="shared" si="5"/>
        <v>24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DIASPX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40</v>
      </c>
    </row>
    <row r="25" spans="1:26" ht="12.75">
      <c r="A25" s="224" t="s">
        <v>84</v>
      </c>
      <c r="B25" s="225">
        <v>0</v>
      </c>
      <c r="C25" s="226">
        <v>0.01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Nostoc sp.</v>
      </c>
      <c r="E25" s="228" t="e">
        <f>IF(D25="",,VLOOKUP(D25,D$22:D24,1,0))</f>
        <v>#N/A</v>
      </c>
      <c r="F25" s="229">
        <f t="shared" si="0"/>
        <v>0.0015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9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Nostoc sp.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1105</v>
      </c>
      <c r="R25" s="219">
        <f t="shared" si="2"/>
        <v>0.0015</v>
      </c>
      <c r="S25" s="220">
        <f t="shared" si="3"/>
        <v>1</v>
      </c>
      <c r="T25" s="220">
        <f t="shared" si="4"/>
        <v>9</v>
      </c>
      <c r="U25" s="220">
        <f t="shared" si="5"/>
        <v>9</v>
      </c>
      <c r="V25" s="236">
        <f t="shared" si="6"/>
        <v>1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NOSSPX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84</v>
      </c>
    </row>
    <row r="26" spans="1:26" ht="12.75">
      <c r="A26" s="224" t="s">
        <v>85</v>
      </c>
      <c r="B26" s="225">
        <v>0.01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Rhizoclonium sp.</v>
      </c>
      <c r="E26" s="228" t="e">
        <f>IF(D26="",,VLOOKUP(D26,D$22:D25,1,0))</f>
        <v>#N/A</v>
      </c>
      <c r="F26" s="229">
        <f t="shared" si="0"/>
        <v>0.0085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4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Rhizoclonium sp.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1125</v>
      </c>
      <c r="R26" s="219">
        <f t="shared" si="2"/>
        <v>0.0085</v>
      </c>
      <c r="S26" s="220">
        <f t="shared" si="3"/>
        <v>1</v>
      </c>
      <c r="T26" s="220">
        <f t="shared" si="4"/>
        <v>4</v>
      </c>
      <c r="U26" s="220">
        <f t="shared" si="5"/>
        <v>8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RHISPX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95</v>
      </c>
    </row>
    <row r="27" spans="1:26" ht="12.75">
      <c r="A27" s="224" t="s">
        <v>86</v>
      </c>
      <c r="B27" s="225">
        <v>0.03</v>
      </c>
      <c r="C27" s="226">
        <v>0.02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Ulothrix sp.</v>
      </c>
      <c r="E27" s="228" t="e">
        <f>IF(D27="",,VLOOKUP(D27,D$22:D26,1,0))</f>
        <v>#N/A</v>
      </c>
      <c r="F27" s="229">
        <f t="shared" si="0"/>
        <v>0.028499999999999998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10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Ulothrix sp.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1142</v>
      </c>
      <c r="R27" s="219">
        <f t="shared" si="2"/>
        <v>0.028499999999999998</v>
      </c>
      <c r="S27" s="220">
        <f t="shared" si="3"/>
        <v>1</v>
      </c>
      <c r="T27" s="220">
        <f t="shared" si="4"/>
        <v>10</v>
      </c>
      <c r="U27" s="220">
        <f t="shared" si="5"/>
        <v>10</v>
      </c>
      <c r="V27" s="236">
        <f t="shared" si="6"/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ULOSPX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116</v>
      </c>
    </row>
    <row r="28" spans="1:26" ht="12.75">
      <c r="A28" s="224" t="s">
        <v>87</v>
      </c>
      <c r="B28" s="225">
        <v>0.01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Vaucheria sp.</v>
      </c>
      <c r="E28" s="228" t="e">
        <f>IF(D28="",,VLOOKUP(D28,D$22:D27,1,0))</f>
        <v>#N/A</v>
      </c>
      <c r="F28" s="229">
        <f t="shared" si="0"/>
        <v>0.0085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4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Vaucheria sp.</v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1169</v>
      </c>
      <c r="R28" s="219">
        <f t="shared" si="2"/>
        <v>0.0085</v>
      </c>
      <c r="S28" s="220">
        <f t="shared" si="3"/>
        <v>1</v>
      </c>
      <c r="T28" s="220">
        <f t="shared" si="4"/>
        <v>4</v>
      </c>
      <c r="U28" s="220">
        <f t="shared" si="5"/>
        <v>4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VAUSPX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118</v>
      </c>
    </row>
    <row r="29" spans="1:26" ht="12.75">
      <c r="A29" s="224" t="s">
        <v>88</v>
      </c>
      <c r="B29" s="225">
        <v>0.3</v>
      </c>
      <c r="C29" s="226">
        <v>2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Pellia endiviifolia</v>
      </c>
      <c r="E29" s="228" t="e">
        <f>IF(D29="",,VLOOKUP(D29,D$22:D28,1,0))</f>
        <v>#N/A</v>
      </c>
      <c r="F29" s="229">
        <f t="shared" si="0"/>
        <v>0.555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BRh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4</v>
      </c>
      <c r="I29" s="5">
        <f t="shared" si="1"/>
        <v>1</v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nc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nc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Pellia endiviifolia</v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1197</v>
      </c>
      <c r="R29" s="219">
        <f t="shared" si="2"/>
        <v>0.5549999999999999</v>
      </c>
      <c r="S29" s="220">
        <f t="shared" si="3"/>
        <v>2</v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PELEND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167</v>
      </c>
    </row>
    <row r="30" spans="1:26" ht="12.75">
      <c r="A30" s="224" t="s">
        <v>16</v>
      </c>
      <c r="B30" s="225">
        <v>0.5</v>
      </c>
      <c r="C30" s="226">
        <v>0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Cinclidotus aquaticus</v>
      </c>
      <c r="E30" s="228" t="e">
        <f>IF(D30="",,VLOOKUP(D30,D$22:D29,1,0))</f>
        <v>#N/A</v>
      </c>
      <c r="F30" s="229">
        <f t="shared" si="0"/>
        <v>0.425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15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Cinclidotus aquaticus</v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1318</v>
      </c>
      <c r="R30" s="219">
        <f t="shared" si="2"/>
        <v>0.425</v>
      </c>
      <c r="S30" s="220">
        <f t="shared" si="3"/>
        <v>2</v>
      </c>
      <c r="T30" s="220">
        <f t="shared" si="4"/>
        <v>30</v>
      </c>
      <c r="U30" s="220">
        <f t="shared" si="5"/>
        <v>60</v>
      </c>
      <c r="V30" s="236">
        <f t="shared" si="6"/>
        <v>4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CINAQU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221</v>
      </c>
    </row>
    <row r="31" spans="1:26" ht="12.75">
      <c r="A31" s="224" t="s">
        <v>89</v>
      </c>
      <c r="B31" s="225">
        <v>0</v>
      </c>
      <c r="C31" s="226">
        <v>0.2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Cinclidotus fontinaloides</v>
      </c>
      <c r="E31" s="228" t="e">
        <f>IF(D31="",,VLOOKUP(D31,D$22:D30,1,0))</f>
        <v>#N/A</v>
      </c>
      <c r="F31" s="229">
        <f t="shared" si="0"/>
        <v>0.03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BRm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5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12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2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Cinclidotus fontinaloides</v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1320</v>
      </c>
      <c r="R31" s="219">
        <f t="shared" si="2"/>
        <v>0.03</v>
      </c>
      <c r="S31" s="220">
        <f t="shared" si="3"/>
        <v>1</v>
      </c>
      <c r="T31" s="220">
        <f t="shared" si="4"/>
        <v>12</v>
      </c>
      <c r="U31" s="220">
        <f t="shared" si="5"/>
        <v>24</v>
      </c>
      <c r="V31" s="236">
        <f t="shared" si="6"/>
        <v>2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CINFON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223</v>
      </c>
    </row>
    <row r="32" spans="1:26" ht="12.75">
      <c r="A32" s="224" t="s">
        <v>90</v>
      </c>
      <c r="B32" s="225">
        <v>0.1</v>
      </c>
      <c r="C32" s="226">
        <v>0.5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Cinclidotus riparius</v>
      </c>
      <c r="E32" s="228" t="e">
        <f>IF(D32="",,VLOOKUP(D32,D$22:D31,1,0))</f>
        <v>#N/A</v>
      </c>
      <c r="F32" s="229">
        <f t="shared" si="0"/>
        <v>0.16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BRm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5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13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2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Cinclidotus riparius</v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1321</v>
      </c>
      <c r="R32" s="219">
        <f t="shared" si="2"/>
        <v>0.16</v>
      </c>
      <c r="S32" s="220">
        <f t="shared" si="3"/>
        <v>2</v>
      </c>
      <c r="T32" s="220">
        <f t="shared" si="4"/>
        <v>26</v>
      </c>
      <c r="U32" s="220">
        <f t="shared" si="5"/>
        <v>52</v>
      </c>
      <c r="V32" s="236">
        <f t="shared" si="6"/>
        <v>4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CINRIP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224</v>
      </c>
    </row>
    <row r="33" spans="1:26" ht="12.75">
      <c r="A33" s="224" t="s">
        <v>91</v>
      </c>
      <c r="B33" s="225">
        <v>0.1</v>
      </c>
      <c r="C33" s="226">
        <v>0.5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Fissidens crassipes</v>
      </c>
      <c r="E33" s="228" t="e">
        <f>IF(D33="",,VLOOKUP(D33,D$22:D32,1,0))</f>
        <v>#N/A</v>
      </c>
      <c r="F33" s="229">
        <f t="shared" si="0"/>
        <v>0.16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BRm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5</v>
      </c>
      <c r="I33" s="5">
        <f t="shared" si="1"/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12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2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Fissidens crassipes</v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1294</v>
      </c>
      <c r="R33" s="219">
        <f t="shared" si="2"/>
        <v>0.16</v>
      </c>
      <c r="S33" s="220">
        <f t="shared" si="3"/>
        <v>2</v>
      </c>
      <c r="T33" s="220">
        <f t="shared" si="4"/>
        <v>24</v>
      </c>
      <c r="U33" s="220">
        <f t="shared" si="5"/>
        <v>48</v>
      </c>
      <c r="V33" s="236">
        <f t="shared" si="6"/>
        <v>4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FISCRA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255</v>
      </c>
    </row>
    <row r="34" spans="1:26" ht="12.75">
      <c r="A34" s="224" t="s">
        <v>92</v>
      </c>
      <c r="B34" s="225">
        <v>0.5</v>
      </c>
      <c r="C34" s="226">
        <v>5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Fontinalis antipyretica</v>
      </c>
      <c r="E34" s="228" t="e">
        <f>IF(D34="",,VLOOKUP(D34,D$22:D33,1,0))</f>
        <v>#N/A</v>
      </c>
      <c r="F34" s="229">
        <f t="shared" si="0"/>
        <v>1.175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BRm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5</v>
      </c>
      <c r="I34" s="5">
        <f t="shared" si="1"/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10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1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Fontinalis antipyretica</v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1310</v>
      </c>
      <c r="R34" s="219">
        <f t="shared" si="2"/>
        <v>1.175</v>
      </c>
      <c r="S34" s="220">
        <f t="shared" si="3"/>
        <v>3</v>
      </c>
      <c r="T34" s="220">
        <f t="shared" si="4"/>
        <v>30</v>
      </c>
      <c r="U34" s="220">
        <f t="shared" si="5"/>
        <v>30</v>
      </c>
      <c r="V34" s="236">
        <f t="shared" si="6"/>
        <v>3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FONANT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273</v>
      </c>
    </row>
    <row r="35" spans="1:26" ht="12.75">
      <c r="A35" s="224" t="s">
        <v>93</v>
      </c>
      <c r="B35" s="225">
        <v>0</v>
      </c>
      <c r="C35" s="226">
        <v>0.4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Hygroamblystegium tenax</v>
      </c>
      <c r="E35" s="228" t="e">
        <f>IF(D35="",,VLOOKUP(D35,D$22:D34,1,0))</f>
        <v>#N/A</v>
      </c>
      <c r="F35" s="229">
        <f t="shared" si="0"/>
        <v>0.06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BRm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5</v>
      </c>
      <c r="I35" s="5">
        <f t="shared" si="1"/>
        <v>1</v>
      </c>
      <c r="J35" s="232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15</v>
      </c>
      <c r="K35" s="232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2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Hygroamblystegium tenax</v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31552</v>
      </c>
      <c r="R35" s="219">
        <f t="shared" si="2"/>
        <v>0.06</v>
      </c>
      <c r="S35" s="220">
        <f t="shared" si="3"/>
        <v>1</v>
      </c>
      <c r="T35" s="220">
        <f t="shared" si="4"/>
        <v>15</v>
      </c>
      <c r="U35" s="220">
        <f t="shared" si="5"/>
        <v>30</v>
      </c>
      <c r="V35" s="236">
        <f t="shared" si="6"/>
        <v>2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HYATEN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283</v>
      </c>
    </row>
    <row r="36" spans="1:26" ht="12.75">
      <c r="A36" s="224" t="s">
        <v>94</v>
      </c>
      <c r="B36" s="225">
        <v>0</v>
      </c>
      <c r="C36" s="226">
        <v>0.4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Leptodictyum riparium </v>
      </c>
      <c r="E36" s="228" t="e">
        <f>IF(D36="",,VLOOKUP(D36,D$22:D35,1,0))</f>
        <v>#N/A</v>
      </c>
      <c r="F36" s="229">
        <f t="shared" si="0"/>
        <v>0.06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BRm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5</v>
      </c>
      <c r="I36" s="5">
        <f t="shared" si="1"/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5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2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Leptodictyum riparium </v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1244</v>
      </c>
      <c r="R36" s="219">
        <f t="shared" si="2"/>
        <v>0.06</v>
      </c>
      <c r="S36" s="220">
        <f t="shared" si="3"/>
        <v>1</v>
      </c>
      <c r="T36" s="220">
        <f t="shared" si="4"/>
        <v>5</v>
      </c>
      <c r="U36" s="220">
        <f t="shared" si="5"/>
        <v>10</v>
      </c>
      <c r="V36" s="236">
        <f t="shared" si="6"/>
        <v>2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LEORIP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298</v>
      </c>
    </row>
    <row r="37" spans="1:26" ht="12.75">
      <c r="A37" s="224" t="s">
        <v>95</v>
      </c>
      <c r="B37" s="225">
        <v>0.11</v>
      </c>
      <c r="C37" s="226">
        <v>0.01</v>
      </c>
      <c r="D37" s="227" t="str">
        <f>IF(ISERROR(VLOOKUP($A37,'[1]liste reference'!$A$6:$B$1174,2,0)),IF(ISERROR(VLOOKUP($A37,'[1]liste reference'!$B$6:$B$1174,1,0)),"",VLOOKUP($A37,'[1]liste reference'!$B$6:$B$1174,1,0)),VLOOKUP($A37,'[1]liste reference'!$A$6:$B$1174,2,0))</f>
        <v>Palustriella commutata</v>
      </c>
      <c r="E37" s="228" t="e">
        <f>IF(D37="",,VLOOKUP(D37,D$22:D36,1,0))</f>
        <v>#N/A</v>
      </c>
      <c r="F37" s="229">
        <f t="shared" si="0"/>
        <v>0.095</v>
      </c>
      <c r="G37" s="230" t="str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  <v>BRm</v>
      </c>
      <c r="H37" s="231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5</v>
      </c>
      <c r="I37" s="5">
        <f t="shared" si="1"/>
        <v>1</v>
      </c>
      <c r="J37" s="232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15</v>
      </c>
      <c r="K37" s="232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2</v>
      </c>
      <c r="L37" s="215" t="str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  <v>Palustriella commutata</v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  <v>19903</v>
      </c>
      <c r="R37" s="219">
        <f t="shared" si="2"/>
        <v>0.095</v>
      </c>
      <c r="S37" s="220">
        <f t="shared" si="3"/>
        <v>1</v>
      </c>
      <c r="T37" s="220">
        <f t="shared" si="4"/>
        <v>15</v>
      </c>
      <c r="U37" s="220">
        <f t="shared" si="5"/>
        <v>30</v>
      </c>
      <c r="V37" s="236">
        <f t="shared" si="6"/>
        <v>2</v>
      </c>
      <c r="W37" s="237"/>
      <c r="X37" s="238"/>
      <c r="Y37" s="223" t="str">
        <f>IF(AND(ISNUMBER(F37),OR(A37="",A37="!!!!!!")),"!!!!!!",IF(A37="new.cod","NEWCOD",IF(AND((Z37=""),ISTEXT(A37),A37&lt;&gt;"!!!!!!"),A37,IF(Z37="","",INDEX('[1]liste reference'!$A$6:$A$1174,Z37)))))</f>
        <v>PALCOM</v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  <v>309</v>
      </c>
    </row>
    <row r="38" spans="1:26" ht="12.75">
      <c r="A38" s="224" t="s">
        <v>96</v>
      </c>
      <c r="B38" s="225">
        <v>1.01</v>
      </c>
      <c r="C38" s="226">
        <v>2</v>
      </c>
      <c r="D38" s="227" t="str">
        <f>IF(ISERROR(VLOOKUP($A38,'[1]liste reference'!$A$6:$B$1174,2,0)),IF(ISERROR(VLOOKUP($A38,'[1]liste reference'!$B$6:$B$1174,1,0)),"",VLOOKUP($A38,'[1]liste reference'!$B$6:$B$1174,1,0)),VLOOKUP($A38,'[1]liste reference'!$A$6:$B$1174,2,0))</f>
        <v>Rhynchostegium riparioides</v>
      </c>
      <c r="E38" s="228" t="e">
        <f>IF(D38="",,VLOOKUP(D38,D$22:D37,1,0))</f>
        <v>#N/A</v>
      </c>
      <c r="F38" s="229">
        <f t="shared" si="0"/>
        <v>1.1584999999999999</v>
      </c>
      <c r="G38" s="230" t="str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  <v>BRm</v>
      </c>
      <c r="H38" s="231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5</v>
      </c>
      <c r="I38" s="5">
        <f t="shared" si="1"/>
        <v>1</v>
      </c>
      <c r="J38" s="232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12</v>
      </c>
      <c r="K38" s="232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1</v>
      </c>
      <c r="L38" s="215" t="str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  <v>Rhynchostegium riparioides</v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  <v>31691</v>
      </c>
      <c r="R38" s="219">
        <f t="shared" si="2"/>
        <v>1.1584999999999999</v>
      </c>
      <c r="S38" s="220">
        <f t="shared" si="3"/>
        <v>3</v>
      </c>
      <c r="T38" s="220">
        <f t="shared" si="4"/>
        <v>36</v>
      </c>
      <c r="U38" s="220">
        <f t="shared" si="5"/>
        <v>36</v>
      </c>
      <c r="V38" s="236">
        <f t="shared" si="6"/>
        <v>3</v>
      </c>
      <c r="W38" s="237"/>
      <c r="X38" s="238"/>
      <c r="Y38" s="223" t="str">
        <f>IF(AND(ISNUMBER(F38),OR(A38="",A38="!!!!!!")),"!!!!!!",IF(A38="new.cod","NEWCOD",IF(AND((Z38=""),ISTEXT(A38),A38&lt;&gt;"!!!!!!"),A38,IF(Z38="","",INDEX('[1]liste reference'!$A$6:$A$1174,Z38)))))</f>
        <v>RHYRIP</v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  <v>345</v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3.9425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34</v>
      </c>
      <c r="W83" s="220"/>
      <c r="X83" s="258"/>
      <c r="Y83" s="258"/>
      <c r="Z83" s="259"/>
    </row>
    <row r="84" spans="1:26" ht="12.75" hidden="1">
      <c r="A84" s="253" t="str">
        <f>A3</f>
        <v>EAU MORTE</v>
      </c>
      <c r="B84" s="187" t="str">
        <f>C3</f>
        <v>EAU MORTE A DOUSSARD</v>
      </c>
      <c r="C84" s="260" t="str">
        <f>A4</f>
        <v>(Date)</v>
      </c>
      <c r="D84" s="261">
        <f>IF(OR(ISERROR(SUM($U$23:$U$82)/SUM($V$23:$V$82)),F7&lt;&gt;100),-1,SUM($U$23:$U$82)/SUM($V$23:$V$82))</f>
        <v>11.205882352941176</v>
      </c>
      <c r="E84" s="262">
        <f>O13</f>
        <v>16</v>
      </c>
      <c r="F84" s="187">
        <f>O14</f>
        <v>15</v>
      </c>
      <c r="G84" s="187">
        <f>O15</f>
        <v>6</v>
      </c>
      <c r="H84" s="187">
        <f>O16</f>
        <v>9</v>
      </c>
      <c r="I84" s="187">
        <f>O17</f>
        <v>0</v>
      </c>
      <c r="J84" s="263">
        <f>O8</f>
        <v>10.266666666666667</v>
      </c>
      <c r="K84" s="264">
        <f>O9</f>
        <v>3.767698973585278</v>
      </c>
      <c r="L84" s="265">
        <f>O10</f>
        <v>4</v>
      </c>
      <c r="M84" s="265">
        <f>O11</f>
        <v>15</v>
      </c>
      <c r="N84" s="264">
        <f>P8</f>
        <v>1.6</v>
      </c>
      <c r="O84" s="264">
        <f>P9</f>
        <v>0.4898979485566356</v>
      </c>
      <c r="P84" s="265">
        <f>P10</f>
        <v>1</v>
      </c>
      <c r="Q84" s="265">
        <f>P11</f>
        <v>2</v>
      </c>
      <c r="R84" s="265">
        <f>F21</f>
        <v>3.9425000000000003</v>
      </c>
      <c r="S84" s="265">
        <f>L11</f>
        <v>0</v>
      </c>
      <c r="T84" s="265">
        <f>L12</f>
        <v>6</v>
      </c>
      <c r="U84" s="265">
        <f>L13</f>
        <v>10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97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98</v>
      </c>
      <c r="S87" s="5"/>
      <c r="T87" s="272">
        <f>VLOOKUP($T$91,($A$23:$U$82),20,FALSE)</f>
        <v>30</v>
      </c>
      <c r="U87" s="5"/>
      <c r="V87" s="5"/>
    </row>
    <row r="88" spans="3:22" ht="12.75" hidden="1">
      <c r="C88" s="269"/>
      <c r="D88" s="269"/>
      <c r="E88" s="269"/>
      <c r="R88" s="5" t="s">
        <v>99</v>
      </c>
      <c r="S88" s="5"/>
      <c r="T88" s="272">
        <f>VLOOKUP($T$91,($A$23:$U$82),21,FALSE)</f>
        <v>60</v>
      </c>
      <c r="U88" s="5"/>
      <c r="V88" s="5">
        <f>COUNTIF(V23:V82,T89)</f>
        <v>3</v>
      </c>
    </row>
    <row r="89" spans="3:21" ht="12.75" hidden="1">
      <c r="C89" s="269"/>
      <c r="D89" s="269"/>
      <c r="E89" s="269"/>
      <c r="R89" s="5" t="s">
        <v>100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101</v>
      </c>
      <c r="S90" s="5" t="s">
        <v>10</v>
      </c>
      <c r="T90" s="273">
        <f>IF(OR(ISERROR(SUM($U$23:$U$82)/SUM($V$23:$V$82)),F7&lt;&gt;100),-1,(SUM($U$23:$U$82)-T88)/(SUM($V$23:$V$82)-T89))</f>
        <v>10.7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102</v>
      </c>
      <c r="S91" s="220"/>
      <c r="T91" s="220" t="str">
        <f>INDEX('[1]liste reference'!$A$6:$A$1174,$U$91)</f>
        <v>CINAQU</v>
      </c>
      <c r="U91" s="5">
        <f>IF(ISERROR(MATCH($T$93,'[1]liste reference'!$A$6:$A$1174,0)),MATCH($T$93,'[1]liste reference'!$B$6:$B$1174,0),(MATCH($T$93,'[1]liste reference'!$A$6:$A$1174,0)))</f>
        <v>221</v>
      </c>
      <c r="V91" s="274"/>
    </row>
    <row r="92" spans="3:21" ht="12.75" hidden="1">
      <c r="C92" s="269"/>
      <c r="D92" s="269"/>
      <c r="E92" s="269"/>
      <c r="R92" s="5" t="s">
        <v>103</v>
      </c>
      <c r="S92" s="5"/>
      <c r="T92" s="5">
        <f>MATCH(T89,$V$23:$V$82,0)</f>
        <v>8</v>
      </c>
      <c r="U92" s="5"/>
    </row>
    <row r="93" spans="3:21" ht="12.75" hidden="1">
      <c r="C93" s="269"/>
      <c r="D93" s="269"/>
      <c r="E93" s="269"/>
      <c r="R93" s="220" t="s">
        <v>104</v>
      </c>
      <c r="S93" s="5"/>
      <c r="T93" s="220" t="str">
        <f>INDEX($A$23:$A$82,$T$92)</f>
        <v>CINAQU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2016-04-07T07:25:38Z</dcterms:created>
  <dcterms:modified xsi:type="dcterms:W3CDTF">2016-04-07T07:25:40Z</dcterms:modified>
  <cp:category/>
  <cp:version/>
  <cp:contentType/>
  <cp:contentStatus/>
</cp:coreProperties>
</file>