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<sst xmlns="http://schemas.openxmlformats.org/spreadsheetml/2006/main" count="99" uniqueCount="95">
  <si>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</si>
  <si>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</si>
  <si>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</si>
  <si>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LISEBE P VAUDAUX</t>
  </si>
  <si>
    <t xml:space="preserve">conforme AFNOR T90-395 oct. 2003</t>
  </si>
  <si>
    <t xml:space="preserve">ALLONDON</t>
  </si>
  <si>
    <t xml:space="preserve">ALLONDON A THOIRY</t>
  </si>
  <si>
    <t xml:space="preserve">06999107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</si>
  <si>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</si>
  <si>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</si>
  <si>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</si>
  <si>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</si>
  <si>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</si>
  <si>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</si>
  <si>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</si>
  <si>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</si>
  <si>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</si>
  <si>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</si>
  <si>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</si>
  <si>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</si>
  <si>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</si>
  <si>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</si>
  <si>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</si>
  <si>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</si>
  <si>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</si>
  <si>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</si>
  <si>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</si>
  <si>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</si>
  <si>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</si>
  <si>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</si>
  <si>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</si>
  <si>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</si>
  <si>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</si>
  <si>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</si>
  <si>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</si>
  <si>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</si>
  <si>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</si>
  <si>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</si>
  <si>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</si>
  <si>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</si>
  <si>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</si>
  <si>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</si>
  <si>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</si>
  <si>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</si>
  <si>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</si>
  <si>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</si>
  <si>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</si>
  <si>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</si>
  <si>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</si>
  <si>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</si>
  <si>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</si>
  <si>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</si>
  <si>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</si>
  <si>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</si>
  <si>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</si>
  <si>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</si>
  <si>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</si>
  <si>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</si>
  <si>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</si>
  <si>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</si>
  <si>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</si>
  <si>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</si>
  <si>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</si>
  <si>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</si>
  <si>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</si>
  <si>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</si>
  <si>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</si>
  <si>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</si>
  <si>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</si>
  <si>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</si>
  <si>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</si>
  <si>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</si>
  <si>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</si>
  <si>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</si>
  <si>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</si>
  <si>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</si>
  <si>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</si>
  <si>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</si>
  <si>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LEASPX</t>
  </si>
  <si>
    <t xml:space="preserve">VAUSPX</t>
  </si>
  <si>
    <t xml:space="preserve">PELEND</t>
  </si>
  <si>
    <t xml:space="preserve">AMBRIP</t>
  </si>
  <si>
    <t xml:space="preserve">CINAQU</t>
  </si>
  <si>
    <t xml:space="preserve">CRAFIL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</si>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</sst>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LLOT_01-07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41821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10.8</v>
      </c>
      <c r="M5" s="53"/>
      <c r="N5" s="54" t="s">
        <v>16</v>
      </c>
      <c r="O5" s="55" t="n">
        <v>10.5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10.7777777777778</v>
      </c>
      <c r="O8" s="84" t="n">
        <f aca="false">IF(ISERROR(AVERAGE(J23:J82)),"      -",AVERAGE(J23:J82))</f>
        <v>1.66666666666667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18.58</v>
      </c>
      <c r="C9" s="87" t="n">
        <v>0.02</v>
      </c>
      <c r="D9" s="88"/>
      <c r="E9" s="88"/>
      <c r="F9" s="89" t="n">
        <f aca="false">($B9*$B$7+$C9*$C$7)/100</f>
        <v>17.652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4.63747483437982</v>
      </c>
      <c r="O9" s="84" t="n">
        <f aca="false">IF(ISERROR(STDEVP(J23:J82)),"      -",STDEVP(J23:J82))</f>
        <v>0.666666666666667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18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15.09</v>
      </c>
      <c r="C12" s="119"/>
      <c r="D12" s="111"/>
      <c r="E12" s="111"/>
      <c r="F12" s="112" t="n">
        <f aca="false">($B12*$B$7+$C12*$C$7)/100</f>
        <v>14.3355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3.49</v>
      </c>
      <c r="C13" s="119" t="n">
        <v>0.02</v>
      </c>
      <c r="D13" s="111"/>
      <c r="E13" s="111"/>
      <c r="F13" s="112" t="n">
        <f aca="false">($B13*$B$7+$C13*$C$7)/100</f>
        <v>3.3165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7</v>
      </c>
      <c r="L13" s="116"/>
      <c r="M13" s="127" t="s">
        <v>41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18.58</v>
      </c>
      <c r="C17" s="119" t="n">
        <v>0.02</v>
      </c>
      <c r="D17" s="111"/>
      <c r="E17" s="111"/>
      <c r="F17" s="143"/>
      <c r="G17" s="112" t="n">
        <f aca="false">($B17*$B$7+$C17*$C$7)/100</f>
        <v>17.652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17.652</v>
      </c>
      <c r="G19" s="156" t="n">
        <f aca="false">SUM(G16:G18)</f>
        <v>17.652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18.58</v>
      </c>
      <c r="C20" s="166" t="n">
        <f aca="false">SUM(C23:C82)</f>
        <v>0.02</v>
      </c>
      <c r="D20" s="167"/>
      <c r="E20" s="168" t="s">
        <v>53</v>
      </c>
      <c r="F20" s="169" t="n">
        <f aca="false">($B20*$B$7+$C20*$C$7)/100</f>
        <v>17.652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17.651</v>
      </c>
      <c r="C21" s="179" t="n">
        <f aca="false">C20*C7/100</f>
        <v>0.001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17.652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0.05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0.0475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0.0475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0.02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6" t="e">
        <f aca="false">IF(D24="",0,VLOOKUP(D24,D$22:D23,1,0))</f>
        <v>#N/A</v>
      </c>
      <c r="F24" s="227" t="n">
        <f aca="false">($B24*$B$7+$C24*$C$7)/100</f>
        <v>0.019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6" t="n">
        <f aca="false">IF(ISTEXT(H24),"",(B24*$B$7/100)+(C24*$C$7/100))</f>
        <v>0.019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15.02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14.269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14.269</v>
      </c>
      <c r="R25" s="217" t="n">
        <f aca="false">IF(OR(ISTEXT(H25),Q25=0),"",IF(Q25&lt;0.1,1,IF(Q25&lt;1,2,IF(Q25&lt;10,3,IF(Q25&lt;50,4,IF(Q25&gt;=50,5,""))))))</f>
        <v>4</v>
      </c>
      <c r="S25" s="217" t="n">
        <f aca="false">IF(ISERROR(R25*I25),0,R25*I25)</f>
        <v>16</v>
      </c>
      <c r="T25" s="217" t="n">
        <f aca="false">IF(ISERROR(R25*I25*J25),0,R25*I25*J25)</f>
        <v>16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3</v>
      </c>
      <c r="C26" s="225" t="n">
        <v>0.01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Pellia endiviifolia</v>
      </c>
      <c r="E26" s="226" t="e">
        <f aca="false">IF(D26="",0,VLOOKUP(D26,D$22:D25,1,0))</f>
        <v>#N/A</v>
      </c>
      <c r="F26" s="227" t="n">
        <f aca="false">($B26*$B$7+$C26*$C$7)/100</f>
        <v>2.8505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BRh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4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Pellia endiviifolia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1197</v>
      </c>
      <c r="Q26" s="216" t="n">
        <f aca="false">IF(ISTEXT(H26),"",(B26*$B$7/100)+(C26*$C$7/100))</f>
        <v>2.8505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PELEND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120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0.02</v>
      </c>
      <c r="C27" s="225" t="n">
        <v>0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Amblystegium riparium</v>
      </c>
      <c r="E27" s="226" t="e">
        <f aca="false">IF(D27="",0,VLOOKUP(D27,D$22:D26,1,0))</f>
        <v>#N/A</v>
      </c>
      <c r="F27" s="227" t="n">
        <f aca="false">($B27*$B$7+$C27*$C$7)/100</f>
        <v>0.019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5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Amblystegium riparium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1219</v>
      </c>
      <c r="Q27" s="216" t="n">
        <f aca="false">IF(ISTEXT(H27),"",(B27*$B$7/100)+(C27*$C$7/100))</f>
        <v>0.019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5</v>
      </c>
      <c r="T27" s="217" t="n">
        <f aca="false">IF(ISERROR(R27*I27*J27),0,R27*I27*J27)</f>
        <v>10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AMBRIP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148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0.01</v>
      </c>
      <c r="C28" s="225" t="n">
        <v>0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Cinclidotus aquaticus</v>
      </c>
      <c r="E28" s="226" t="e">
        <f aca="false">IF(D28="",0,VLOOKUP(D28,D$22:D27,1,0))</f>
        <v>#N/A</v>
      </c>
      <c r="F28" s="227" t="n">
        <f aca="false">($B28*$B$7+$C28*$C$7)/100</f>
        <v>0.0095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15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Cinclidotus aquaticus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1318</v>
      </c>
      <c r="Q28" s="216" t="n">
        <f aca="false">IF(ISTEXT(H28),"",(B28*$B$7/100)+(C28*$C$7/100))</f>
        <v>0.0095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15</v>
      </c>
      <c r="T28" s="217" t="n">
        <f aca="false">IF(ISERROR(R28*I28*J28),0,R28*I28*J28)</f>
        <v>30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CINAQU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170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0.05</v>
      </c>
      <c r="C29" s="225" t="n">
        <v>0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Cratoneuron filicinum</v>
      </c>
      <c r="E29" s="226" t="e">
        <f aca="false">IF(D29="",0,VLOOKUP(D29,D$22:D28,1,0))</f>
        <v>#N/A</v>
      </c>
      <c r="F29" s="227" t="n">
        <f aca="false">($B29*$B$7+$C29*$C$7)/100</f>
        <v>0.0475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18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Cratoneuron filicinum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1233</v>
      </c>
      <c r="Q29" s="216" t="n">
        <f aca="false">IF(ISTEXT(H29),"",(B29*$B$7/100)+(C29*$C$7/100))</f>
        <v>0.0475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18</v>
      </c>
      <c r="T29" s="217" t="n">
        <f aca="false">IF(ISERROR(R29*I29*J29),0,R29*I29*J29)</f>
        <v>54</v>
      </c>
      <c r="U29" s="229" t="n">
        <f aca="false">IF(ISERROR(R29*J29),0,R29*J29)</f>
        <v>3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CRAFIL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178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16</v>
      </c>
      <c r="B30" s="224" t="n">
        <v>0.3</v>
      </c>
      <c r="C30" s="225" t="n">
        <v>0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Fissidens crassipes</v>
      </c>
      <c r="E30" s="226" t="e">
        <f aca="false">IF(D30="",0,VLOOKUP(D30,D$22:D29,1,0))</f>
        <v>#N/A</v>
      </c>
      <c r="F30" s="227" t="n">
        <f aca="false">($B30*$B$7+$C30*$C$7)/100</f>
        <v>0.285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12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Fissidens crassipes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1294</v>
      </c>
      <c r="Q30" s="216" t="n">
        <f aca="false">IF(ISTEXT(H30),"",(B30*$B$7/100)+(C30*$C$7/100))</f>
        <v>0.285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48</v>
      </c>
      <c r="U30" s="229" t="n">
        <f aca="false">IF(ISERROR(R30*J30),0,R30*J30)</f>
        <v>4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FISCRA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197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0.02</v>
      </c>
      <c r="C31" s="225" t="n">
        <v>0.01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Fontinalis antipyretica</v>
      </c>
      <c r="E31" s="226" t="e">
        <f aca="false">IF(D31="",0,VLOOKUP(D31,D$22:D30,1,0))</f>
        <v>#N/A</v>
      </c>
      <c r="F31" s="227" t="n">
        <f aca="false">($B31*$B$7+$C31*$C$7)/100</f>
        <v>0.0195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1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10</v>
      </c>
      <c r="J31" s="211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Fontinalis antipyretica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1310</v>
      </c>
      <c r="Q31" s="216" t="n">
        <f aca="false">IF(ISTEXT(H31),"",(B31*$B$7/100)+(C31*$C$7/100))</f>
        <v>0.0195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10</v>
      </c>
      <c r="T31" s="217" t="n">
        <f aca="false">IF(ISERROR(R31*I31*J31),0,R31*I31*J31)</f>
        <v>10</v>
      </c>
      <c r="U31" s="229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FONANT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210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0.09</v>
      </c>
      <c r="C32" s="225" t="n">
        <v>0</v>
      </c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Rhynchostegium riparioides</v>
      </c>
      <c r="E32" s="226" t="e">
        <f aca="false">IF(D32="",0,VLOOKUP(D32,D$22:D31,1,0))</f>
        <v>#N/A</v>
      </c>
      <c r="F32" s="227" t="n">
        <f aca="false">($B32*$B$7+$C32*$C$7)/100</f>
        <v>0.0855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10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1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12</v>
      </c>
      <c r="J32" s="211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1</v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Rhynchostegium riparioides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1268</v>
      </c>
      <c r="Q32" s="216" t="n">
        <f aca="false">IF(ISTEXT(H32),"",(B32*$B$7/100)+(C32*$C$7/100))</f>
        <v>0.0855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12</v>
      </c>
      <c r="T32" s="217" t="n">
        <f aca="false">IF(ISERROR(R32*I32*J32),0,R32*I32*J32)</f>
        <v>12</v>
      </c>
      <c r="U32" s="229" t="n">
        <f aca="false">IF(ISERROR(R32*J32),0,R32*J32)</f>
        <v>1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>RHYRIP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252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ALLONDON</v>
      </c>
      <c r="B84" s="259" t="str">
        <f aca="false">C3</f>
        <v>ALLONDON A THOIRY</v>
      </c>
      <c r="C84" s="260" t="n">
        <f aca="false">A4</f>
        <v>41821</v>
      </c>
      <c r="D84" s="261" t="n">
        <f aca="false">IF(ISERROR(SUM($T$23:$T$82)/SUM($U$23:$U$82)),"",SUM($T$23:$T$82)/SUM($U$23:$U$82))</f>
        <v>10.8</v>
      </c>
      <c r="E84" s="262" t="n">
        <f aca="false">N13</f>
        <v>10</v>
      </c>
      <c r="F84" s="259" t="n">
        <f aca="false">N14</f>
        <v>9</v>
      </c>
      <c r="G84" s="259" t="n">
        <f aca="false">N15</f>
        <v>4</v>
      </c>
      <c r="H84" s="259" t="n">
        <f aca="false">N16</f>
        <v>4</v>
      </c>
      <c r="I84" s="259" t="n">
        <f aca="false">N17</f>
        <v>1</v>
      </c>
      <c r="J84" s="263" t="n">
        <f aca="false">N8</f>
        <v>10.7777777777778</v>
      </c>
      <c r="K84" s="261" t="n">
        <f aca="false">N9</f>
        <v>4.63747483437982</v>
      </c>
      <c r="L84" s="262" t="n">
        <f aca="false">N10</f>
        <v>4</v>
      </c>
      <c r="M84" s="262" t="n">
        <f aca="false">N11</f>
        <v>18</v>
      </c>
      <c r="N84" s="261" t="n">
        <f aca="false">O8</f>
        <v>1.66666666666667</v>
      </c>
      <c r="O84" s="261" t="n">
        <f aca="false">O9</f>
        <v>0.666666666666667</v>
      </c>
      <c r="P84" s="262" t="n">
        <f aca="false">O10</f>
        <v>1</v>
      </c>
      <c r="Q84" s="262" t="n">
        <f aca="false">O11</f>
        <v>3</v>
      </c>
      <c r="R84" s="262" t="n">
        <f aca="false">F21</f>
        <v>17.652</v>
      </c>
      <c r="S84" s="262" t="n">
        <f aca="false">K11</f>
        <v>0</v>
      </c>
      <c r="T84" s="262" t="n">
        <f aca="false">K12</f>
        <v>3</v>
      </c>
      <c r="U84" s="262" t="n">
        <f aca="false">K13</f>
        <v>7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8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8" t="n">
        <f aca="false">IF(ISERROR(SUM($T$23:$T$82)/SUM($U$23:$U$82)),"",(SUM($T$23:$T$82)-S88)/(SUM($U$23:$U$82)-S89))</f>
        <v>10.5</v>
      </c>
      <c r="T90" s="10"/>
    </row>
    <row r="91" customFormat="false" ht="12.75" hidden="false" customHeight="false" outlineLevel="0" collapsed="false">
      <c r="Q91" s="217" t="s">
        <v>92</v>
      </c>
      <c r="R91" s="217"/>
      <c r="S91" s="217" t="str">
        <f aca="false">INDEX('[2]liste reference'!$A$8:$A$904,$T$91)</f>
        <v>FISCRA</v>
      </c>
      <c r="T91" s="10" t="n">
        <f aca="false">IF(ISERROR(MATCH($S$93,'[2]liste reference'!$A$8:$A$904,0)),MATCH($S$93,'[2]liste reference'!$B$8:$B$904,0),(MATCH($S$93,'[2]liste reference'!$A$8:$A$904,0)))</f>
        <v>197</v>
      </c>
      <c r="U91" s="257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8</v>
      </c>
      <c r="T92" s="10"/>
    </row>
    <row r="93" customFormat="false" ht="12.75" hidden="false" customHeight="false" outlineLevel="0" collapsed="false">
      <c r="Q93" s="217" t="s">
        <v>94</v>
      </c>
      <c r="R93" s="10"/>
      <c r="S93" s="217" t="str">
        <f aca="false">INDEX($A$23:$A$82,$S$92)</f>
        <v>FISCRA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2015-02-02T17:00:12Z</dcterms:created>
  <dc:creator>Laurent Bourgoin</dc:creator>
  <dc:description/>
  <dc:language>fr-FR</dc:language>
  <cp:lastModifiedBy>Laurent Bourgoin</cp:lastModifiedBy>
  <dcterms:modified xsi:type="dcterms:W3CDTF">2015-02-02T17:00:20Z</dcterms:modified>
  <cp:revision>0</cp:revision>
  <dc:subject/>
  <dc:title/>
</cp:coreProperties>
</file>