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_04000600" sheetId="1" state="visible" r:id="rId3"/>
  </sheets>
  <definedNames>
    <definedName function="false" hidden="false" localSheetId="0" name="Excel_BuiltIn_Print_Area" vbProcedure="false">Loire_04000600!$A$1:$O$37</definedName>
    <definedName function="false" hidden="false" localSheetId="0" name="Excel_BuiltIn__FilterDatabase" vbProcedure="false">Loire_04000600!$A$23:$J$84</definedName>
    <definedName function="false" hidden="false" localSheetId="0" name="NOM" vbProcedure="false">Loire_04000600!$H$1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<sst xmlns="http://schemas.openxmlformats.org/spreadsheetml/2006/main" count="103" uniqueCount="99">
  <si>
    <t xml:space="preserve">Relevés floristiques aquatiques - IBMR</t>
  </si>
  <si>
    <t xml:space="preserve">Formulaire modèle GIS Macrophytes v_3.3 -mai 2012</t>
  </si>
  <si>
    <t xml:space="preserve">CARICAIE</t>
  </si>
  <si>
    <t xml:space="preserve">conforme AFNOR T90-395 oct. 2003</t>
  </si>
  <si>
    <t xml:space="preserve">LOIRE</t>
  </si>
  <si>
    <t xml:space="preserve">GOUDET</t>
  </si>
  <si>
    <t xml:space="preserve">04000600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</si>
  <si>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</si>
  <si>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</si>
  <si>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</si>
  <si>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</si>
  <si>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</si>
  <si>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</si>
  <si>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</si>
  <si>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</si>
  <si>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</si>
  <si>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lent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</si>
  <si>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</si>
  <si>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</si>
  <si>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</si>
  <si>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</si>
  <si>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</si>
  <si>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</si>
  <si>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</si>
  <si>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</si>
  <si>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</si>
  <si>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</si>
  <si>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</si>
  <si>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</si>
  <si>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</si>
  <si>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</si>
  <si>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</si>
  <si>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</si>
  <si>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</si>
  <si>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</si>
  <si>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</si>
  <si>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</si>
  <si>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</si>
  <si>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</si>
  <si>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</si>
  <si>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</si>
  <si>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</si>
  <si>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</si>
  <si>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</si>
  <si>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</si>
  <si>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</si>
  <si>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</si>
  <si>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</si>
  <si>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</si>
  <si>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</si>
  <si>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</si>
  <si>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</si>
  <si>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</si>
  <si>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</si>
  <si>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</si>
  <si>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</si>
  <si>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</si>
  <si>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(5.91 %)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</si>
  <si>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</si>
  <si>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</si>
  <si>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</si>
  <si>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</si>
  <si>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</si>
  <si>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</si>
  <si>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</si>
  <si>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</si>
  <si>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</si>
  <si>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</si>
  <si>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</si>
  <si>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</si>
  <si>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</si>
  <si>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</si>
  <si>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</si>
  <si>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</si>
  <si>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</si>
  <si>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</si>
  <si>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</si>
  <si>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SPISPX</t>
  </si>
  <si>
    <t xml:space="preserve">RANFLU</t>
  </si>
  <si>
    <t xml:space="preserve">SPAEML</t>
  </si>
  <si>
    <t xml:space="preserve">AGRSTO</t>
  </si>
  <si>
    <t xml:space="preserve">CARVES</t>
  </si>
  <si>
    <t xml:space="preserve">GLYFLU</t>
  </si>
  <si>
    <t xml:space="preserve">JUNEFF</t>
  </si>
  <si>
    <t xml:space="preserve">JUNSPX</t>
  </si>
  <si>
    <t xml:space="preserve">LYCEUR</t>
  </si>
  <si>
    <t xml:space="preserve">PHAARU</t>
  </si>
  <si>
    <t xml:space="preserve">SCISYL</t>
  </si>
  <si>
    <t xml:space="preserve">JUNACU</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</si>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</sst>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10">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 numFmtId="173" formatCode="[$-40C]mmm\-yy"/>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3" fontId="0" fillId="6" borderId="41" xfId="0" applyFont="true" applyBorder="true" applyAlignment="true" applyProtection="true">
      <alignment horizontal="general" vertical="bottom"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41108</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11.3684210526316</v>
      </c>
      <c r="M5" s="52"/>
      <c r="N5" s="53"/>
      <c r="O5" s="54" t="n">
        <v>10.1538461538462</v>
      </c>
      <c r="P5" s="55"/>
      <c r="Q5" s="9"/>
      <c r="R5" s="9"/>
      <c r="S5" s="9"/>
      <c r="T5" s="9"/>
      <c r="U5" s="9"/>
      <c r="V5" s="9"/>
      <c r="W5" s="21"/>
      <c r="X5" s="41"/>
    </row>
    <row r="6" customFormat="false" ht="12.75" hidden="false" customHeight="false" outlineLevel="0" collapsed="false">
      <c r="A6" s="42" t="s">
        <v>15</v>
      </c>
      <c r="B6" s="56" t="s">
        <v>16</v>
      </c>
      <c r="C6" s="56"/>
      <c r="D6" s="45"/>
      <c r="E6" s="45"/>
      <c r="F6" s="57"/>
      <c r="G6" s="47"/>
      <c r="H6" s="45"/>
      <c r="I6" s="58" t="s">
        <v>17</v>
      </c>
      <c r="J6" s="59"/>
      <c r="K6" s="60"/>
      <c r="L6" s="61" t="s">
        <v>18</v>
      </c>
      <c r="M6" s="62"/>
      <c r="N6" s="63" t="s">
        <v>19</v>
      </c>
      <c r="O6" s="63"/>
      <c r="P6" s="64"/>
      <c r="Q6" s="9"/>
      <c r="R6" s="9"/>
      <c r="S6" s="9"/>
      <c r="T6" s="9"/>
      <c r="U6" s="9"/>
      <c r="V6" s="9"/>
      <c r="W6" s="21"/>
      <c r="X6" s="22"/>
    </row>
    <row r="7" customFormat="false" ht="12.75" hidden="false" customHeight="false" outlineLevel="0" collapsed="false">
      <c r="A7" s="65" t="s">
        <v>20</v>
      </c>
      <c r="B7" s="66" t="n">
        <v>100</v>
      </c>
      <c r="C7" s="67"/>
      <c r="D7" s="68"/>
      <c r="E7" s="68"/>
      <c r="F7" s="69" t="n">
        <f aca="false">IF((OR((B7+C7=100),(B7+C7=0))),B7+C7,"ATTENTION")</f>
        <v>100</v>
      </c>
      <c r="G7" s="70"/>
      <c r="H7" s="68"/>
      <c r="I7" s="71"/>
      <c r="J7" s="72"/>
      <c r="K7" s="73"/>
      <c r="L7" s="74"/>
      <c r="M7" s="75"/>
      <c r="N7" s="76" t="s">
        <v>21</v>
      </c>
      <c r="O7" s="76" t="s">
        <v>22</v>
      </c>
      <c r="P7" s="77"/>
      <c r="Q7" s="9"/>
      <c r="R7" s="9"/>
      <c r="S7" s="9"/>
      <c r="T7" s="9"/>
      <c r="U7" s="9"/>
      <c r="V7" s="9"/>
      <c r="W7" s="21"/>
      <c r="X7" s="22"/>
    </row>
    <row r="8" customFormat="false" ht="12.75" hidden="false" customHeight="false" outlineLevel="0" collapsed="false">
      <c r="A8" s="78" t="s">
        <v>23</v>
      </c>
      <c r="B8" s="78"/>
      <c r="C8" s="78"/>
      <c r="D8" s="68"/>
      <c r="E8" s="68"/>
      <c r="F8" s="79" t="s">
        <v>24</v>
      </c>
      <c r="G8" s="80"/>
      <c r="H8" s="81"/>
      <c r="I8" s="71"/>
      <c r="J8" s="72"/>
      <c r="K8" s="73"/>
      <c r="L8" s="74"/>
      <c r="M8" s="82" t="s">
        <v>25</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26</v>
      </c>
      <c r="B9" s="85" t="n">
        <v>5.91</v>
      </c>
      <c r="C9" s="86"/>
      <c r="D9" s="87"/>
      <c r="E9" s="87"/>
      <c r="F9" s="88" t="n">
        <f aca="false">($B9*$B$7+$C9*$C$7)/100</f>
        <v>5.91</v>
      </c>
      <c r="G9" s="89"/>
      <c r="H9" s="90"/>
      <c r="I9" s="91"/>
      <c r="J9" s="92"/>
      <c r="K9" s="73"/>
      <c r="L9" s="93"/>
      <c r="M9" s="82" t="s">
        <v>27</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28</v>
      </c>
      <c r="B10" s="97" t="s">
        <v>29</v>
      </c>
      <c r="C10" s="97"/>
      <c r="D10" s="98"/>
      <c r="E10" s="98"/>
      <c r="F10" s="88"/>
      <c r="G10" s="89"/>
      <c r="H10" s="99"/>
      <c r="I10" s="100"/>
      <c r="J10" s="101" t="s">
        <v>30</v>
      </c>
      <c r="K10" s="101"/>
      <c r="L10" s="102"/>
      <c r="M10" s="103" t="s">
        <v>31</v>
      </c>
      <c r="N10" s="104" t="n">
        <f aca="false">MIN(I23:I82)</f>
        <v>0</v>
      </c>
      <c r="O10" s="104" t="n">
        <f aca="false">MIN(J23:J82)</f>
        <v>0</v>
      </c>
      <c r="P10" s="105"/>
      <c r="Q10" s="9"/>
      <c r="R10" s="9"/>
      <c r="S10" s="9"/>
      <c r="T10" s="9"/>
      <c r="U10" s="9"/>
      <c r="V10" s="9"/>
    </row>
    <row r="11" customFormat="false" ht="12.75" hidden="false" customHeight="false" outlineLevel="0" collapsed="false">
      <c r="A11" s="106" t="s">
        <v>32</v>
      </c>
      <c r="B11" s="107" t="n">
        <v>0</v>
      </c>
      <c r="C11" s="108"/>
      <c r="D11" s="109"/>
      <c r="E11" s="109"/>
      <c r="F11" s="110" t="n">
        <f aca="false">($B11*$B$7+$C11*$C$7)/100</f>
        <v>0</v>
      </c>
      <c r="G11" s="111"/>
      <c r="H11" s="68"/>
      <c r="I11" s="112" t="s">
        <v>33</v>
      </c>
      <c r="J11" s="112"/>
      <c r="K11" s="113" t="n">
        <f aca="false">COUNTIF($G$23:$G$82,"=HET")</f>
        <v>0</v>
      </c>
      <c r="L11" s="114"/>
      <c r="M11" s="103" t="s">
        <v>34</v>
      </c>
      <c r="N11" s="104" t="n">
        <f aca="false">MAX(I23:I82)</f>
        <v>0</v>
      </c>
      <c r="O11" s="104" t="n">
        <f aca="false">MAX(J23:J82)</f>
        <v>0</v>
      </c>
      <c r="P11" s="105"/>
      <c r="Q11" s="9"/>
      <c r="R11" s="9"/>
      <c r="S11" s="9"/>
      <c r="T11" s="9"/>
      <c r="U11" s="9"/>
      <c r="V11" s="9"/>
    </row>
    <row r="12" customFormat="false" ht="12.75" hidden="false" customHeight="false" outlineLevel="0" collapsed="false">
      <c r="A12" s="115" t="s">
        <v>35</v>
      </c>
      <c r="B12" s="116" t="n">
        <v>2</v>
      </c>
      <c r="C12" s="117"/>
      <c r="D12" s="109"/>
      <c r="E12" s="109"/>
      <c r="F12" s="110" t="n">
        <f aca="false">($B12*$B$7+$C12*$C$7)/100</f>
        <v>2</v>
      </c>
      <c r="G12" s="118"/>
      <c r="H12" s="68"/>
      <c r="I12" s="119" t="s">
        <v>36</v>
      </c>
      <c r="J12" s="119"/>
      <c r="K12" s="113" t="n">
        <f aca="false">COUNTIF($G$23:$G$82,"=ALG")</f>
        <v>0</v>
      </c>
      <c r="L12" s="120"/>
      <c r="M12" s="121"/>
      <c r="N12" s="122" t="s">
        <v>30</v>
      </c>
      <c r="O12" s="123"/>
      <c r="P12" s="124"/>
      <c r="Q12" s="9"/>
      <c r="R12" s="9"/>
      <c r="S12" s="9"/>
      <c r="T12" s="9"/>
      <c r="U12" s="9"/>
      <c r="V12" s="9"/>
    </row>
    <row r="13" customFormat="false" ht="12.75" hidden="false" customHeight="false" outlineLevel="0" collapsed="false">
      <c r="A13" s="115" t="s">
        <v>37</v>
      </c>
      <c r="B13" s="116" t="n">
        <v>0</v>
      </c>
      <c r="C13" s="117"/>
      <c r="D13" s="109"/>
      <c r="E13" s="109"/>
      <c r="F13" s="110" t="n">
        <f aca="false">($B13*$B$7+$C13*$C$7)/100</f>
        <v>0</v>
      </c>
      <c r="G13" s="118"/>
      <c r="H13" s="68"/>
      <c r="I13" s="119" t="s">
        <v>38</v>
      </c>
      <c r="J13" s="119"/>
      <c r="K13" s="113" t="n">
        <f aca="false">COUNTIF($G$23:$G$82,"=BRm")+COUNTIF($G$23:$G$82,"=BRh")</f>
        <v>0</v>
      </c>
      <c r="L13" s="114"/>
      <c r="M13" s="125" t="s">
        <v>39</v>
      </c>
      <c r="N13" s="126" t="n">
        <f aca="false">COUNTIF(F23:F82,"&gt;0")</f>
        <v>13</v>
      </c>
      <c r="O13" s="127"/>
      <c r="P13" s="128"/>
      <c r="Q13" s="9"/>
      <c r="R13" s="9"/>
      <c r="S13" s="9"/>
      <c r="T13" s="9"/>
      <c r="U13" s="9"/>
      <c r="V13" s="9"/>
    </row>
    <row r="14" customFormat="false" ht="12.75" hidden="false" customHeight="false" outlineLevel="0" collapsed="false">
      <c r="A14" s="115" t="s">
        <v>40</v>
      </c>
      <c r="B14" s="116" t="n">
        <v>0</v>
      </c>
      <c r="C14" s="117"/>
      <c r="D14" s="109"/>
      <c r="E14" s="109"/>
      <c r="F14" s="110" t="n">
        <f aca="false">($B14*$B$7+$C14*$C$7)/100</f>
        <v>0</v>
      </c>
      <c r="G14" s="118"/>
      <c r="H14" s="68"/>
      <c r="I14" s="119" t="s">
        <v>41</v>
      </c>
      <c r="J14" s="119"/>
      <c r="K14" s="113" t="n">
        <f aca="false">COUNTIF($G$23:$G$82,"=PTE")</f>
        <v>0</v>
      </c>
      <c r="L14" s="114"/>
      <c r="M14" s="129" t="s">
        <v>42</v>
      </c>
      <c r="N14" s="130" t="n">
        <f aca="false">COUNTIF($I$23:$I$82,"&gt;-1")</f>
        <v>0</v>
      </c>
      <c r="O14" s="131"/>
      <c r="P14" s="128"/>
      <c r="Q14" s="9"/>
      <c r="R14" s="9"/>
      <c r="S14" s="9"/>
      <c r="T14" s="9"/>
      <c r="U14" s="9"/>
      <c r="V14" s="9"/>
    </row>
    <row r="15" customFormat="false" ht="12.75" hidden="false" customHeight="false" outlineLevel="0" collapsed="false">
      <c r="A15" s="132" t="s">
        <v>43</v>
      </c>
      <c r="B15" s="133" t="n">
        <v>3.91</v>
      </c>
      <c r="C15" s="134"/>
      <c r="D15" s="109"/>
      <c r="E15" s="109"/>
      <c r="F15" s="110" t="n">
        <f aca="false">($B15*$B$7+$C15*$C$7)/100</f>
        <v>3.91</v>
      </c>
      <c r="G15" s="118"/>
      <c r="H15" s="68"/>
      <c r="I15" s="119" t="s">
        <v>44</v>
      </c>
      <c r="J15" s="119"/>
      <c r="K15" s="113" t="n">
        <f aca="false">(COUNTIF($G$23:$G$82,"=PHy"))+(COUNTIF($G$23:$G$82,"=PHe"))+(COUNTIF($G$23:$G$82,"=PHg"))+(COUNTIF($G$23:$G$82,"=PHx"))</f>
        <v>0</v>
      </c>
      <c r="L15" s="114"/>
      <c r="M15" s="135" t="s">
        <v>45</v>
      </c>
      <c r="N15" s="136" t="n">
        <f aca="false">COUNTIF(J23:J82,"=1")</f>
        <v>0</v>
      </c>
      <c r="O15" s="137"/>
      <c r="P15" s="128"/>
      <c r="Q15" s="9"/>
      <c r="R15" s="9"/>
      <c r="S15" s="9"/>
      <c r="T15" s="9"/>
      <c r="U15" s="9"/>
      <c r="V15" s="9"/>
    </row>
    <row r="16" customFormat="false" ht="12.75" hidden="false" customHeight="false" outlineLevel="0" collapsed="false">
      <c r="A16" s="106" t="s">
        <v>46</v>
      </c>
      <c r="B16" s="107" t="n">
        <v>0</v>
      </c>
      <c r="C16" s="108"/>
      <c r="D16" s="138"/>
      <c r="E16" s="138"/>
      <c r="F16" s="139" t="n">
        <f aca="false">($B16*$B$7+$C16*$C$7)/100</f>
        <v>0</v>
      </c>
      <c r="G16" s="139" t="n">
        <f aca="false">($B16*$B$7+$C16*$C$7)/100</f>
        <v>0</v>
      </c>
      <c r="H16" s="68"/>
      <c r="I16" s="119"/>
      <c r="J16" s="140"/>
      <c r="K16" s="140"/>
      <c r="L16" s="114"/>
      <c r="M16" s="135" t="s">
        <v>47</v>
      </c>
      <c r="N16" s="136" t="n">
        <f aca="false">COUNTIF(J23:J82,"=2")</f>
        <v>0</v>
      </c>
      <c r="O16" s="137"/>
      <c r="P16" s="128"/>
      <c r="Q16" s="9"/>
      <c r="R16" s="9"/>
      <c r="S16" s="9"/>
      <c r="T16" s="9"/>
      <c r="U16" s="9"/>
      <c r="V16" s="9"/>
    </row>
    <row r="17" customFormat="false" ht="12.75" hidden="false" customHeight="false" outlineLevel="0" collapsed="false">
      <c r="A17" s="115" t="s">
        <v>48</v>
      </c>
      <c r="B17" s="116" t="n">
        <v>2.02</v>
      </c>
      <c r="C17" s="117"/>
      <c r="D17" s="109"/>
      <c r="E17" s="109"/>
      <c r="F17" s="141" t="n">
        <f aca="false">($B17*$B$7+$C17*$C$7)/100</f>
        <v>2.02</v>
      </c>
      <c r="G17" s="110" t="n">
        <f aca="false">($B17*$B$7+$C17*$C$7)/100</f>
        <v>2.02</v>
      </c>
      <c r="H17" s="68"/>
      <c r="I17" s="119"/>
      <c r="J17" s="119"/>
      <c r="K17" s="140"/>
      <c r="L17" s="114"/>
      <c r="M17" s="135" t="s">
        <v>49</v>
      </c>
      <c r="N17" s="136" t="n">
        <f aca="false">COUNTIF(J23:J82,"=3")</f>
        <v>0</v>
      </c>
      <c r="O17" s="137"/>
      <c r="P17" s="128"/>
      <c r="Q17" s="9"/>
      <c r="R17" s="9"/>
      <c r="S17" s="9"/>
      <c r="T17" s="9"/>
      <c r="U17" s="9"/>
      <c r="V17" s="9"/>
    </row>
    <row r="18" customFormat="false" ht="12.75" hidden="false" customHeight="false" outlineLevel="0" collapsed="false">
      <c r="A18" s="142" t="s">
        <v>50</v>
      </c>
      <c r="B18" s="143" t="n">
        <v>3.89</v>
      </c>
      <c r="C18" s="144"/>
      <c r="D18" s="109"/>
      <c r="E18" s="145" t="s">
        <v>51</v>
      </c>
      <c r="F18" s="141" t="n">
        <f aca="false">($B18*$B$7+$C18*$C$7)/100</f>
        <v>3.89</v>
      </c>
      <c r="G18" s="110" t="n">
        <f aca="false">($B18*$B$7+$C18*$C$7)/100</f>
        <v>3.89</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5.91</v>
      </c>
      <c r="G19" s="154" t="n">
        <f aca="false">SUM(G16:G18)</f>
        <v>5.91</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52</v>
      </c>
      <c r="B20" s="163" t="n">
        <f aca="false">SUM(B23:B82)</f>
        <v>5.91</v>
      </c>
      <c r="C20" s="164" t="n">
        <f aca="false">SUM(C23:C82)</f>
        <v>0</v>
      </c>
      <c r="D20" s="165"/>
      <c r="E20" s="166" t="s">
        <v>51</v>
      </c>
      <c r="F20" s="167" t="n">
        <f aca="false">($B20*$B$7+$C20*$C$7)/100</f>
        <v>5.91</v>
      </c>
      <c r="G20" s="168"/>
      <c r="H20" s="169"/>
      <c r="I20" s="170"/>
      <c r="J20" s="170"/>
      <c r="K20" s="171"/>
      <c r="L20" s="57"/>
      <c r="M20" s="172"/>
      <c r="N20" s="172"/>
      <c r="O20" s="173"/>
      <c r="P20" s="174"/>
      <c r="Q20" s="175" t="s">
        <v>53</v>
      </c>
      <c r="R20" s="9"/>
      <c r="S20" s="9"/>
      <c r="T20" s="9"/>
      <c r="U20" s="9"/>
      <c r="V20" s="9" t="s">
        <v>54</v>
      </c>
      <c r="W20" s="148"/>
    </row>
    <row r="21" customFormat="false" ht="12.75" hidden="false" customHeight="false" outlineLevel="0" collapsed="false">
      <c r="A21" s="176" t="s">
        <v>55</v>
      </c>
      <c r="B21" s="177" t="n">
        <f aca="false">B20*B7/100</f>
        <v>5.91</v>
      </c>
      <c r="C21" s="177" t="n">
        <f aca="false">C20*C7/100</f>
        <v>0</v>
      </c>
      <c r="D21" s="109" t="str">
        <f aca="false">IF(F21=0,"",IF((ABS(F21-F19))&gt;(0.2*F21),CONCATENATE(" rec. par taxa (",F21," %) supérieur à 20 % !"),""))</f>
        <v/>
      </c>
      <c r="E21" s="178" t="str">
        <f aca="false">IF(F21=0,"",IF((ABS(F21-F19))&gt;(0.2*F21),CONCATENATE("ATTENTION : écart entre rec. par grp (",F19," %) ","et",""),""))</f>
        <v/>
      </c>
      <c r="F21" s="179" t="n">
        <f aca="false">B21+C21</f>
        <v>5.91</v>
      </c>
      <c r="G21" s="180"/>
      <c r="H21" s="109"/>
      <c r="I21" s="181"/>
      <c r="J21" s="181"/>
      <c r="K21" s="182"/>
      <c r="L21" s="182"/>
      <c r="M21" s="183"/>
      <c r="N21" s="183"/>
      <c r="O21" s="184"/>
      <c r="P21" s="185"/>
      <c r="Q21" s="186" t="s">
        <v>56</v>
      </c>
      <c r="R21" s="9"/>
      <c r="S21" s="9"/>
      <c r="T21" s="9"/>
      <c r="U21" s="9"/>
      <c r="V21" s="9" t="s">
        <v>57</v>
      </c>
      <c r="W21" s="148"/>
    </row>
    <row r="22" customFormat="false" ht="12.75" hidden="false" customHeight="false" outlineLevel="0" collapsed="false">
      <c r="A22" s="187" t="s">
        <v>58</v>
      </c>
      <c r="B22" s="188" t="s">
        <v>59</v>
      </c>
      <c r="C22" s="189" t="s">
        <v>59</v>
      </c>
      <c r="D22" s="138"/>
      <c r="E22" s="138"/>
      <c r="F22" s="190" t="s">
        <v>60</v>
      </c>
      <c r="G22" s="191" t="s">
        <v>61</v>
      </c>
      <c r="H22" s="138"/>
      <c r="I22" s="192" t="s">
        <v>62</v>
      </c>
      <c r="J22" s="192" t="s">
        <v>63</v>
      </c>
      <c r="K22" s="193" t="s">
        <v>64</v>
      </c>
      <c r="L22" s="193"/>
      <c r="M22" s="193"/>
      <c r="N22" s="193"/>
      <c r="O22" s="193"/>
      <c r="P22" s="194" t="s">
        <v>65</v>
      </c>
      <c r="Q22" s="195" t="s">
        <v>66</v>
      </c>
      <c r="R22" s="196" t="s">
        <v>67</v>
      </c>
      <c r="S22" s="197" t="s">
        <v>68</v>
      </c>
      <c r="T22" s="198" t="s">
        <v>69</v>
      </c>
      <c r="U22" s="199" t="s">
        <v>70</v>
      </c>
      <c r="V22" s="197" t="s">
        <v>71</v>
      </c>
      <c r="Y22" s="9" t="s">
        <v>72</v>
      </c>
      <c r="Z22" s="9" t="s">
        <v>73</v>
      </c>
      <c r="AA22" s="200" t="s">
        <v>74</v>
      </c>
      <c r="AB22" s="200" t="s">
        <v>75</v>
      </c>
      <c r="AC22" s="200" t="s">
        <v>76</v>
      </c>
    </row>
    <row r="23" customFormat="false" ht="12.75" hidden="false" customHeight="false" outlineLevel="0" collapsed="false">
      <c r="A23" s="201" t="s">
        <v>77</v>
      </c>
      <c r="B23" s="202" t="n">
        <v>2</v>
      </c>
      <c r="C23" s="203"/>
      <c r="D23" s="204" t="str">
        <f aca="false">IF(ISERROR(VLOOKUP($A23,,2,0)),IF(ISERROR(VLOOKUP($A23,,1,0)),"",VLOOKUP($A23,,1,0)),VLOOKUP($A23,,2,0))</f>
        <v/>
      </c>
      <c r="E23" s="205" t="n">
        <f aca="false">IF(D23="",0,VLOOKUP(D23,D$22:D22,1,0))</f>
        <v>0</v>
      </c>
      <c r="F23" s="206" t="n">
        <f aca="false">($B23*$B$7+$C23*$C$7)/100</f>
        <v>2</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3</v>
      </c>
      <c r="W23" s="217"/>
      <c r="X23" s="217"/>
      <c r="Y23" s="215" t="str">
        <f aca="false">IF(A23="new.cod","NEWCOD",IF(AND((Z23=""),ISTEXT(A23)),A23,IF(Z23="","",INDEX(,Z23))))</f>
        <v>SPISPX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78</v>
      </c>
      <c r="B24" s="202" t="n">
        <v>0.01</v>
      </c>
      <c r="C24" s="203"/>
      <c r="D24" s="204" t="str">
        <f aca="false">IF(ISERROR(VLOOKUP($A24,,2,0)),IF(ISERROR(VLOOKUP($A24,,1,0)),"",VLOOKUP($A24,,1,0)),VLOOKUP($A24,,2,0))</f>
        <v/>
      </c>
      <c r="E24" s="205" t="n">
        <f aca="false">IF(D24="",0,VLOOKUP(D24,D$22:D23,1,0))</f>
        <v>0</v>
      </c>
      <c r="F24" s="206" t="n">
        <f aca="false">($B24*$B$7+$C24*$C$7)/100</f>
        <v>0.01</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2</v>
      </c>
      <c r="W24" s="217"/>
      <c r="Y24" s="215" t="str">
        <f aca="false">IF(A24="new.cod","NEWCOD",IF(AND((Z24=""),ISTEXT(A24)),A24,IF(Z24="","",INDEX(,Z24))))</f>
        <v>RANFLU</v>
      </c>
      <c r="Z24" s="9" t="str">
        <f aca="false">IF(ISERROR(MATCH(A24,,0)),IF(ISERROR(MATCH(A24,,0)),"",(MATCH(A24,,0))),(MATCH(A24,,0)))</f>
        <v/>
      </c>
      <c r="AA24" s="218"/>
      <c r="AB24" s="219"/>
      <c r="AC24" s="219"/>
      <c r="BC24" s="9" t="n">
        <f aca="false">IF(A24="","",1)</f>
        <v>1</v>
      </c>
    </row>
    <row r="25" customFormat="false" ht="12.75" hidden="false" customHeight="false" outlineLevel="0" collapsed="false">
      <c r="A25" s="201" t="s">
        <v>79</v>
      </c>
      <c r="B25" s="202" t="n">
        <v>0.01</v>
      </c>
      <c r="C25" s="203"/>
      <c r="D25" s="204" t="str">
        <f aca="false">IF(ISERROR(VLOOKUP($A25,,2,0)),IF(ISERROR(VLOOKUP($A25,,1,0)),"",VLOOKUP($A25,,1,0)),VLOOKUP($A25,,2,0))</f>
        <v/>
      </c>
      <c r="E25" s="205" t="n">
        <f aca="false">IF(D25="",0,VLOOKUP(D25,D$22:D24,1,0))</f>
        <v>0</v>
      </c>
      <c r="F25" s="206" t="n">
        <f aca="false">($B25*$B$7+$C25*$C$7)/100</f>
        <v>0.01</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1</v>
      </c>
      <c r="W25" s="217"/>
      <c r="Y25" s="215" t="str">
        <f aca="false">IF(A25="new.cod","NEWCOD",IF(AND((Z25=""),ISTEXT(A25)),A25,IF(Z25="","",INDEX(,Z25))))</f>
        <v>SPAEML</v>
      </c>
      <c r="Z25" s="9" t="str">
        <f aca="false">IF(ISERROR(MATCH(A25,,0)),IF(ISERROR(MATCH(A25,,0)),"",(MATCH(A25,,0))),(MATCH(A25,,0)))</f>
        <v/>
      </c>
      <c r="AA25" s="218"/>
      <c r="AB25" s="219"/>
      <c r="AC25" s="219"/>
      <c r="BC25" s="9" t="n">
        <f aca="false">IF(A25="","",1)</f>
        <v>1</v>
      </c>
    </row>
    <row r="26" customFormat="false" ht="12.75" hidden="false" customHeight="false" outlineLevel="0" collapsed="false">
      <c r="A26" s="201" t="s">
        <v>80</v>
      </c>
      <c r="B26" s="202" t="n">
        <v>0.05</v>
      </c>
      <c r="C26" s="203"/>
      <c r="D26" s="204" t="str">
        <f aca="false">IF(ISERROR(VLOOKUP($A26,,2,0)),IF(ISERROR(VLOOKUP($A26,,1,0)),"",VLOOKUP($A26,,1,0)),VLOOKUP($A26,,2,0))</f>
        <v/>
      </c>
      <c r="E26" s="205" t="n">
        <f aca="false">IF(D26="",0,VLOOKUP(D26,D$22:D25,1,0))</f>
        <v>0</v>
      </c>
      <c r="F26" s="206" t="n">
        <f aca="false">($B26*$B$7+$C26*$C$7)/100</f>
        <v>0.05</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1</v>
      </c>
      <c r="W26" s="217"/>
      <c r="Y26" s="215" t="str">
        <f aca="false">IF(A26="new.cod","NEWCOD",IF(AND((Z26=""),ISTEXT(A26)),A26,IF(Z26="","",INDEX(,Z26))))</f>
        <v>AGRSTO</v>
      </c>
      <c r="Z26" s="9" t="str">
        <f aca="false">IF(ISERROR(MATCH(A26,,0)),IF(ISERROR(MATCH(A26,,0)),"",(MATCH(A26,,0))),(MATCH(A26,,0)))</f>
        <v/>
      </c>
      <c r="AA26" s="218"/>
      <c r="AB26" s="219"/>
      <c r="AC26" s="219"/>
      <c r="BC26" s="9" t="n">
        <f aca="false">IF(A26="","",1)</f>
        <v>1</v>
      </c>
    </row>
    <row r="27" customFormat="false" ht="12.75" hidden="false" customHeight="false" outlineLevel="0" collapsed="false">
      <c r="A27" s="201" t="s">
        <v>81</v>
      </c>
      <c r="B27" s="202" t="n">
        <v>0.01</v>
      </c>
      <c r="C27" s="203"/>
      <c r="D27" s="204" t="str">
        <f aca="false">IF(ISERROR(VLOOKUP($A27,,2,0)),IF(ISERROR(VLOOKUP($A27,,1,0)),"",VLOOKUP($A27,,1,0)),VLOOKUP($A27,,2,0))</f>
        <v/>
      </c>
      <c r="E27" s="205" t="n">
        <f aca="false">IF(D27="",0,VLOOKUP(D27,D$22:D26,1,0))</f>
        <v>0</v>
      </c>
      <c r="F27" s="206" t="n">
        <f aca="false">($B27*$B$7+$C27*$C$7)/100</f>
        <v>0.01</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2</v>
      </c>
      <c r="W27" s="217"/>
      <c r="Y27" s="215" t="str">
        <f aca="false">IF(A27="new.cod","NEWCOD",IF(AND((Z27=""),ISTEXT(A27)),A27,IF(Z27="","",INDEX(,Z27))))</f>
        <v>CARVES</v>
      </c>
      <c r="Z27" s="9" t="str">
        <f aca="false">IF(ISERROR(MATCH(A27,,0)),IF(ISERROR(MATCH(A27,,0)),"",(MATCH(A27,,0))),(MATCH(A27,,0)))</f>
        <v/>
      </c>
      <c r="AA27" s="218"/>
      <c r="AB27" s="219"/>
      <c r="AC27" s="219"/>
      <c r="BC27" s="9" t="n">
        <f aca="false">IF(A27="","",1)</f>
        <v>1</v>
      </c>
    </row>
    <row r="28" customFormat="false" ht="12.75" hidden="false" customHeight="false" outlineLevel="0" collapsed="false">
      <c r="A28" s="201" t="s">
        <v>82</v>
      </c>
      <c r="B28" s="202" t="n">
        <v>3</v>
      </c>
      <c r="C28" s="203"/>
      <c r="D28" s="204" t="str">
        <f aca="false">IF(ISERROR(VLOOKUP($A28,,2,0)),IF(ISERROR(VLOOKUP($A28,,1,0)),"",VLOOKUP($A28,,1,0)),VLOOKUP($A28,,2,0))</f>
        <v/>
      </c>
      <c r="E28" s="205" t="n">
        <f aca="false">IF(D28="",0,VLOOKUP(D28,D$22:D27,1,0))</f>
        <v>0</v>
      </c>
      <c r="F28" s="206" t="n">
        <f aca="false">($B28*$B$7+$C28*$C$7)/100</f>
        <v>3</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6</v>
      </c>
      <c r="W28" s="221"/>
      <c r="Y28" s="215" t="str">
        <f aca="false">IF(A28="new.cod","NEWCOD",IF(AND((Z28=""),ISTEXT(A28)),A28,IF(Z28="","",INDEX(,Z28))))</f>
        <v>GLYFLU</v>
      </c>
      <c r="Z28" s="9" t="str">
        <f aca="false">IF(ISERROR(MATCH(A28,,0)),IF(ISERROR(MATCH(A28,,0)),"",(MATCH(A28,,0))),(MATCH(A28,,0)))</f>
        <v/>
      </c>
      <c r="AA28" s="218"/>
      <c r="AB28" s="219"/>
      <c r="AC28" s="219"/>
      <c r="BC28" s="9" t="n">
        <f aca="false">IF(A28="","",1)</f>
        <v>1</v>
      </c>
    </row>
    <row r="29" customFormat="false" ht="12.75" hidden="false" customHeight="false" outlineLevel="0" collapsed="false">
      <c r="A29" s="201" t="s">
        <v>83</v>
      </c>
      <c r="B29" s="202" t="n">
        <v>0.15</v>
      </c>
      <c r="C29" s="203"/>
      <c r="D29" s="204" t="str">
        <f aca="false">IF(ISERROR(VLOOKUP($A29,,2,0)),IF(ISERROR(VLOOKUP($A29,,1,0)),"",VLOOKUP($A29,,1,0)),VLOOKUP($A29,,2,0))</f>
        <v/>
      </c>
      <c r="E29" s="205" t="n">
        <f aca="false">IF(D29="",0,VLOOKUP(D29,D$22:D28,1,0))</f>
        <v>0</v>
      </c>
      <c r="F29" s="206" t="n">
        <f aca="false">($B29*$B$7+$C29*$C$7)/100</f>
        <v>0.15</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0</v>
      </c>
      <c r="W29" s="217"/>
      <c r="Y29" s="215" t="str">
        <f aca="false">IF(A29="new.cod","NEWCOD",IF(AND((Z29=""),ISTEXT(A29)),A29,IF(Z29="","",INDEX(,Z29))))</f>
        <v>JUNEFF</v>
      </c>
      <c r="Z29" s="9" t="str">
        <f aca="false">IF(ISERROR(MATCH(A29,,0)),IF(ISERROR(MATCH(A29,,0)),"",(MATCH(A29,,0))),(MATCH(A29,,0)))</f>
        <v/>
      </c>
      <c r="AA29" s="218"/>
      <c r="AB29" s="219"/>
      <c r="AC29" s="219"/>
      <c r="BC29" s="9" t="n">
        <f aca="false">IF(A29="","",1)</f>
        <v>1</v>
      </c>
    </row>
    <row r="30" customFormat="false" ht="12.75" hidden="false" customHeight="false" outlineLevel="0" collapsed="false">
      <c r="A30" s="222" t="s">
        <v>84</v>
      </c>
      <c r="B30" s="202" t="n">
        <v>0.02</v>
      </c>
      <c r="C30" s="203"/>
      <c r="D30" s="204" t="str">
        <f aca="false">IF(ISERROR(VLOOKUP($A30,,2,0)),IF(ISERROR(VLOOKUP($A30,,1,0)),"",VLOOKUP($A30,,1,0)),VLOOKUP($A30,,2,0))</f>
        <v/>
      </c>
      <c r="E30" s="205" t="n">
        <f aca="false">IF(D30="",0,VLOOKUP(D30,D$22:D29,1,0))</f>
        <v>0</v>
      </c>
      <c r="F30" s="206" t="n">
        <f aca="false">($B30*$B$7+$C30*$C$7)/100</f>
        <v>0.02</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0</v>
      </c>
      <c r="W30" s="217"/>
      <c r="Y30" s="215" t="str">
        <f aca="false">IF(A30="new.cod","NEWCOD",IF(AND((Z30=""),ISTEXT(A30)),A30,IF(Z30="","",INDEX(,Z30))))</f>
        <v>JUNSPX</v>
      </c>
      <c r="Z30" s="9" t="str">
        <f aca="false">IF(ISERROR(MATCH(A30,,0)),IF(ISERROR(MATCH(A30,,0)),"",(MATCH(A30,,0))),(MATCH(A30,,0)))</f>
        <v/>
      </c>
      <c r="AA30" s="218"/>
      <c r="AB30" s="219"/>
      <c r="AC30" s="219"/>
      <c r="BC30" s="9" t="n">
        <f aca="false">IF(A30="","",1)</f>
        <v>1</v>
      </c>
    </row>
    <row r="31" customFormat="false" ht="12.75" hidden="false" customHeight="false" outlineLevel="0" collapsed="false">
      <c r="A31" s="201" t="s">
        <v>85</v>
      </c>
      <c r="B31" s="202" t="n">
        <v>0.05</v>
      </c>
      <c r="C31" s="203"/>
      <c r="D31" s="204" t="str">
        <f aca="false">IF(ISERROR(VLOOKUP($A31,,2,0)),IF(ISERROR(VLOOKUP($A31,,1,0)),"",VLOOKUP($A31,,1,0)),VLOOKUP($A31,,2,0))</f>
        <v/>
      </c>
      <c r="E31" s="205" t="n">
        <f aca="false">IF(D31="",0,VLOOKUP(D31,D$22:D30,1,0))</f>
        <v>0</v>
      </c>
      <c r="F31" s="206" t="n">
        <f aca="false">($B31*$B$7+$C31*$C$7)/100</f>
        <v>0.05</v>
      </c>
      <c r="G31" s="207" t="str">
        <f aca="false">IF(A31="","",IF(ISERROR(VLOOKUP($A31,,13,0)),IF(ISERROR(VLOOKUP($A31,,12,0)),"    -",VLOOKUP($A31,,12,0)),VLOOKUP($A31,,13,0)))</f>
        <v>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code non répertorié ou synonyme</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1</v>
      </c>
      <c r="W31" s="217"/>
      <c r="Y31" s="215" t="str">
        <f aca="false">IF(A31="new.cod","NEWCOD",IF(AND((Z31=""),ISTEXT(A31)),A31,IF(Z31="","",INDEX(,Z31))))</f>
        <v>LYCEUR</v>
      </c>
      <c r="Z31" s="9" t="str">
        <f aca="false">IF(ISERROR(MATCH(A31,,0)),IF(ISERROR(MATCH(A31,,0)),"",(MATCH(A31,,0))),(MATCH(A31,,0)))</f>
        <v/>
      </c>
      <c r="AA31" s="218"/>
      <c r="AB31" s="219"/>
      <c r="AC31" s="219"/>
      <c r="BC31" s="9" t="n">
        <f aca="false">IF(A31="","",1)</f>
        <v>1</v>
      </c>
    </row>
    <row r="32" customFormat="false" ht="12.75" hidden="false" customHeight="false" outlineLevel="0" collapsed="false">
      <c r="A32" s="201" t="s">
        <v>86</v>
      </c>
      <c r="B32" s="202" t="n">
        <v>0.05</v>
      </c>
      <c r="C32" s="203"/>
      <c r="D32" s="204" t="str">
        <f aca="false">IF(ISERROR(VLOOKUP($A32,,2,0)),IF(ISERROR(VLOOKUP($A32,,1,0)),"",VLOOKUP($A32,,1,0)),VLOOKUP($A32,,2,0))</f>
        <v/>
      </c>
      <c r="E32" s="205" t="n">
        <f aca="false">IF(D32="",0,VLOOKUP(D32,D$22:D31,1,0))</f>
        <v>0</v>
      </c>
      <c r="F32" s="206" t="n">
        <f aca="false">($B32*$B$7+$C32*$C$7)/100</f>
        <v>0.05</v>
      </c>
      <c r="G32" s="207" t="str">
        <f aca="false">IF(A32="","",IF(ISERROR(VLOOKUP($A32,,13,0)),IF(ISERROR(VLOOKUP($A32,,12,0)),"    -",VLOOKUP($A32,,12,0)),VLOOKUP($A32,,13,0)))</f>
        <v>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code non répertorié ou synonyme</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1</v>
      </c>
      <c r="W32" s="217"/>
      <c r="Y32" s="215" t="str">
        <f aca="false">IF(A32="new.cod","NEWCOD",IF(AND((Z32=""),ISTEXT(A32)),A32,IF(Z32="","",INDEX(,Z32))))</f>
        <v>PHAARU</v>
      </c>
      <c r="Z32" s="9" t="str">
        <f aca="false">IF(ISERROR(MATCH(A32,,0)),IF(ISERROR(MATCH(A32,,0)),"",(MATCH(A32,,0))),(MATCH(A32,,0)))</f>
        <v/>
      </c>
      <c r="AA32" s="218"/>
      <c r="AB32" s="219"/>
      <c r="AC32" s="219"/>
      <c r="BC32" s="9" t="n">
        <f aca="false">IF(A32="","",1)</f>
        <v>1</v>
      </c>
    </row>
    <row r="33" customFormat="false" ht="12.75" hidden="false" customHeight="false" outlineLevel="0" collapsed="false">
      <c r="A33" s="201" t="s">
        <v>87</v>
      </c>
      <c r="B33" s="202" t="n">
        <v>0.05</v>
      </c>
      <c r="C33" s="203"/>
      <c r="D33" s="204" t="str">
        <f aca="false">IF(ISERROR(VLOOKUP($A33,,2,0)),IF(ISERROR(VLOOKUP($A33,,1,0)),"",VLOOKUP($A33,,1,0)),VLOOKUP($A33,,2,0))</f>
        <v/>
      </c>
      <c r="E33" s="205" t="n">
        <f aca="false">IF(D33="",0,VLOOKUP(D33,D$22:D32,1,0))</f>
        <v>0</v>
      </c>
      <c r="F33" s="206" t="n">
        <f aca="false">($B33*$B$7+$C33*$C$7)/100</f>
        <v>0.05</v>
      </c>
      <c r="G33" s="207" t="str">
        <f aca="false">IF(A33="","",IF(ISERROR(VLOOKUP($A33,,13,0)),IF(ISERROR(VLOOKUP($A33,,12,0)),"    -",VLOOKUP($A33,,12,0)),VLOOKUP($A33,,13,0)))</f>
        <v>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code non répertorié ou synonyme</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2</v>
      </c>
      <c r="W33" s="217"/>
      <c r="Y33" s="215" t="str">
        <f aca="false">IF(A33="new.cod","NEWCOD",IF(AND((Z33=""),ISTEXT(A33)),A33,IF(Z33="","",INDEX(,Z33))))</f>
        <v>SCISYL</v>
      </c>
      <c r="Z33" s="9" t="str">
        <f aca="false">IF(ISERROR(MATCH(A33,,0)),IF(ISERROR(MATCH(A33,,0)),"",(MATCH(A33,,0))),(MATCH(A33,,0)))</f>
        <v/>
      </c>
      <c r="AA33" s="218"/>
      <c r="AB33" s="219"/>
      <c r="AC33" s="219"/>
      <c r="BC33" s="9" t="n">
        <f aca="false">IF(A33="","",1)</f>
        <v>1</v>
      </c>
    </row>
    <row r="34" customFormat="false" ht="12.75" hidden="false" customHeight="false" outlineLevel="0" collapsed="false">
      <c r="A34" s="201" t="s">
        <v>88</v>
      </c>
      <c r="B34" s="202" t="n">
        <v>0.5</v>
      </c>
      <c r="C34" s="203"/>
      <c r="D34" s="204" t="str">
        <f aca="false">IF(ISERROR(VLOOKUP($A34,,2,0)),IF(ISERROR(VLOOKUP($A34,,1,0)),"",VLOOKUP($A34,,1,0)),VLOOKUP($A34,,2,0))</f>
        <v/>
      </c>
      <c r="E34" s="205" t="n">
        <f aca="false">IF(D34="",0,VLOOKUP(D34,D$22:D33,1,0))</f>
        <v>0</v>
      </c>
      <c r="F34" s="206" t="n">
        <f aca="false">($B34*$B$7+$C34*$C$7)/100</f>
        <v>0.5</v>
      </c>
      <c r="G34" s="207" t="str">
        <f aca="false">IF(A34="","",IF(ISERROR(VLOOKUP($A34,,13,0)),IF(ISERROR(VLOOKUP($A34,,12,0)),"    -",VLOOKUP($A34,,12,0)),VLOOKUP($A34,,13,0)))</f>
        <v>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code non répertorié ou synonyme</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IF(A34="new.cod","NEWCOD",IF(AND((Z34=""),ISTEXT(A34)),A34,IF(Z34="","",INDEX(,Z34))))</f>
        <v>JUNACU</v>
      </c>
      <c r="Z34" s="9" t="str">
        <f aca="false">IF(ISERROR(MATCH(A34,,0)),IF(ISERROR(MATCH(A34,,0)),"",(MATCH(A34,,0))),(MATCH(A34,,0)))</f>
        <v/>
      </c>
      <c r="AA34" s="218"/>
      <c r="AB34" s="219"/>
      <c r="AC34" s="219"/>
      <c r="BC34" s="9" t="n">
        <f aca="false">IF(A34="","",1)</f>
        <v>1</v>
      </c>
    </row>
    <row r="35" customFormat="false" ht="12.75" hidden="false" customHeight="false" outlineLevel="0" collapsed="false">
      <c r="A35" s="201" t="s">
        <v>89</v>
      </c>
      <c r="B35" s="202" t="n">
        <v>0.01</v>
      </c>
      <c r="C35" s="203"/>
      <c r="D35" s="204" t="str">
        <f aca="false">IF(ISERROR(VLOOKUP($A35,,2,0)),IF(ISERROR(VLOOKUP($A35,,1,0)),"",VLOOKUP($A35,,1,0)),VLOOKUP($A35,,2,0))</f>
        <v/>
      </c>
      <c r="E35" s="205" t="n">
        <f aca="false">IF(D35="",0,VLOOKUP(D35,D$22:D34,1,0))</f>
        <v>0</v>
      </c>
      <c r="F35" s="206" t="n">
        <f aca="false">($B35*$B$7+$C35*$C$7)/100</f>
        <v>0.01</v>
      </c>
      <c r="G35" s="207" t="str">
        <f aca="false">IF(A35="","",IF(ISERROR(VLOOKUP($A35,,13,0)),IF(ISERROR(VLOOKUP($A35,,12,0)),"    -",VLOOKUP($A35,,12,0)),VLOOKUP($A35,,13,0)))</f>
        <v>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code non répertorié ou synonyme</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IF(A35="new.cod","NEWCOD",IF(AND((Z35=""),ISTEXT(A35)),A35,IF(Z35="","",INDEX(,Z35))))</f>
        <v>SOADUL</v>
      </c>
      <c r="Z35" s="9" t="str">
        <f aca="false">IF(ISERROR(MATCH(A35,,0)),IF(ISERROR(MATCH(A35,,0)),"",(MATCH(A35,,0))),(MATCH(A35,,0)))</f>
        <v/>
      </c>
      <c r="AA35" s="218"/>
      <c r="AB35" s="219"/>
      <c r="AC35" s="219"/>
      <c r="BC35" s="9" t="n">
        <f aca="false">IF(A35="","",1)</f>
        <v>1</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IF(D39="",0,VLOOKUP(D39,D$22:D38,1,0))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IF(D43="",0,VLOOKUP(D43,D$22:D42,1,0))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IF(D44="",0,VLOOKUP(D44,D$22:D43,1,0))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IF(D45="",0,VLOOKUP(D45,D$22:D38,1,0))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IF(D46="",0,VLOOKUP(D46,D$22:D38,1,0))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IF(D47="",0,VLOOKUP(D47,D$22:D39,1,0))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IF(D56="",0,VLOOKUP(D56,D$21:D55,1,0))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X56" s="223"/>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12"/>
      <c r="M57" s="212"/>
      <c r="N57" s="212"/>
      <c r="O57" s="213"/>
      <c r="P57" s="213"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24"/>
      <c r="M58" s="224"/>
      <c r="N58" s="224"/>
      <c r="O58" s="225"/>
      <c r="P58" s="225"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24"/>
      <c r="M59" s="224"/>
      <c r="N59" s="224"/>
      <c r="O59" s="225"/>
      <c r="P59" s="225"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X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4"/>
      <c r="M81" s="224"/>
      <c r="N81" s="224"/>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6"/>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7"/>
      <c r="B82" s="228"/>
      <c r="C82" s="229"/>
      <c r="D82" s="230" t="str">
        <f aca="false">IF(ISERROR(VLOOKUP($A82,,2,0)),IF(ISERROR(VLOOKUP($A82,,1,0)),"",VLOOKUP($A82,,1,0)),VLOOKUP($A82,,2,0))</f>
        <v/>
      </c>
      <c r="E82" s="231" t="n">
        <f aca="false">IF(D82="",0,VLOOKUP(D82,D$20:D80,1,0))</f>
        <v>0</v>
      </c>
      <c r="F82" s="232" t="n">
        <f aca="false">($B82*$B$7+$C82*$C$7)/100</f>
        <v>0</v>
      </c>
      <c r="G82" s="233" t="str">
        <f aca="false">IF(A82="","",IF(ISERROR(VLOOKUP($A82,,13,0)),IF(ISERROR(VLOOKUP($A82,,12,0)),"    -",VLOOKUP($A82,,12,0)),VLOOKUP($A82,,13,0)))</f>
        <v/>
      </c>
      <c r="H82" s="208" t="str">
        <f aca="false">IF(A82="","x",IF(ISERROR(VLOOKUP($A82,,14,0)),IF(ISERROR(VLOOKUP($A82,,13,0)),"x",VLOOKUP($A82,,13,0)),VLOOKUP($A82,,14,0)))</f>
        <v>x</v>
      </c>
      <c r="I82" s="234" t="str">
        <f aca="false">IF(ISNUMBER(H82),IF(ISERROR(VLOOKUP($A82,,3,0)),IF(ISERROR(VLOOKUP($A82,,2,0)),"",VLOOKUP($A82,,2,0)),VLOOKUP($A82,,3,0)),"")</f>
        <v/>
      </c>
      <c r="J82" s="234"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5"/>
      <c r="M82" s="235"/>
      <c r="N82" s="235"/>
      <c r="O82" s="236"/>
      <c r="P82" s="236"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7"/>
      <c r="X82" s="238"/>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9" t="s">
        <v>90</v>
      </c>
      <c r="B83" s="155"/>
      <c r="C83" s="155"/>
      <c r="D83" s="155"/>
      <c r="E83" s="155"/>
      <c r="F83" s="155"/>
      <c r="G83" s="155"/>
      <c r="H83" s="155"/>
      <c r="I83" s="155"/>
      <c r="J83" s="155"/>
      <c r="K83" s="155"/>
      <c r="L83" s="155"/>
      <c r="M83" s="215"/>
      <c r="N83" s="215"/>
      <c r="O83" s="240"/>
      <c r="P83" s="240"/>
      <c r="Q83" s="240"/>
      <c r="R83" s="240"/>
      <c r="S83" s="240"/>
      <c r="T83" s="9"/>
      <c r="U83" s="9"/>
      <c r="V83" s="240"/>
      <c r="W83" s="240"/>
      <c r="X83" s="240"/>
      <c r="Y83" s="241"/>
      <c r="Z83" s="241"/>
      <c r="AA83" s="241"/>
      <c r="AB83" s="242"/>
      <c r="AC83" s="242"/>
      <c r="AD83" s="242"/>
    </row>
    <row r="84" customFormat="false" ht="12.75" hidden="true" customHeight="false" outlineLevel="0" collapsed="false">
      <c r="A84" s="243" t="str">
        <f aca="false">A3</f>
        <v>LOIRE</v>
      </c>
      <c r="B84" s="244" t="str">
        <f aca="false">C3</f>
        <v>GOUDET</v>
      </c>
      <c r="C84" s="245" t="n">
        <f aca="false">A4</f>
        <v>41108</v>
      </c>
      <c r="D84" s="246" t="str">
        <f aca="false">IF(ISERROR(SUM($T$23:$T$82)/SUM($U$23:$U$82)),"",SUM($T$23:$T$82)/SUM($U$23:$U$82))</f>
        <v/>
      </c>
      <c r="E84" s="247" t="n">
        <f aca="false">N13</f>
        <v>13</v>
      </c>
      <c r="F84" s="244" t="n">
        <f aca="false">N14</f>
        <v>0</v>
      </c>
      <c r="G84" s="244" t="n">
        <f aca="false">N15</f>
        <v>0</v>
      </c>
      <c r="H84" s="244" t="n">
        <f aca="false">N16</f>
        <v>0</v>
      </c>
      <c r="I84" s="244" t="n">
        <f aca="false">N17</f>
        <v>0</v>
      </c>
      <c r="J84" s="248" t="e">
        <f aca="false">N8</f>
        <v>#DIV/0!</v>
      </c>
      <c r="K84" s="246" t="e">
        <f aca="false">N9</f>
        <v>#DIV/0!</v>
      </c>
      <c r="L84" s="247" t="n">
        <f aca="false">N10</f>
        <v>0</v>
      </c>
      <c r="M84" s="247" t="n">
        <f aca="false">N11</f>
        <v>0</v>
      </c>
      <c r="N84" s="246" t="e">
        <f aca="false">O8</f>
        <v>#DIV/0!</v>
      </c>
      <c r="O84" s="246" t="e">
        <f aca="false">O9</f>
        <v>#DIV/0!</v>
      </c>
      <c r="P84" s="247"/>
      <c r="Q84" s="247" t="n">
        <f aca="false">O10</f>
        <v>0</v>
      </c>
      <c r="R84" s="247" t="n">
        <f aca="false">O11</f>
        <v>0</v>
      </c>
      <c r="S84" s="249" t="n">
        <f aca="false">F21</f>
        <v>5.91</v>
      </c>
      <c r="T84" s="247" t="n">
        <f aca="false">K11</f>
        <v>0</v>
      </c>
      <c r="U84" s="247" t="n">
        <f aca="false">K12</f>
        <v>0</v>
      </c>
      <c r="V84" s="247" t="n">
        <f aca="false">K13</f>
        <v>0</v>
      </c>
      <c r="W84" s="250" t="n">
        <f aca="false">K14</f>
        <v>0</v>
      </c>
      <c r="X84" s="251" t="n">
        <f aca="false">K15</f>
        <v>0</v>
      </c>
      <c r="Z84" s="226"/>
      <c r="AA84" s="226"/>
      <c r="AB84" s="242"/>
      <c r="AC84" s="242"/>
      <c r="AD84" s="242"/>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2" t="s">
        <v>91</v>
      </c>
      <c r="R86" s="9"/>
      <c r="S86" s="216"/>
      <c r="T86" s="9"/>
      <c r="U86" s="9"/>
      <c r="V86" s="9"/>
    </row>
    <row r="87" customFormat="false" ht="12.75" hidden="true" customHeight="false" outlineLevel="0" collapsed="false">
      <c r="P87" s="9"/>
      <c r="Q87" s="9" t="s">
        <v>92</v>
      </c>
      <c r="R87" s="9"/>
      <c r="S87" s="216" t="n">
        <f aca="false">VLOOKUP(MAX($S$23:$S$82),($S$23:$U$82),1,0)</f>
        <v>0</v>
      </c>
      <c r="T87" s="9"/>
      <c r="U87" s="9"/>
      <c r="V87" s="9"/>
    </row>
    <row r="88" customFormat="false" ht="12.75" hidden="true" customHeight="false" outlineLevel="0" collapsed="false">
      <c r="P88" s="9"/>
      <c r="Q88" s="9" t="s">
        <v>93</v>
      </c>
      <c r="R88" s="9"/>
      <c r="S88" s="216" t="n">
        <f aca="false">VLOOKUP((S87),($S$23:$U$82),2,0)</f>
        <v>0</v>
      </c>
      <c r="T88" s="9"/>
      <c r="U88" s="9"/>
      <c r="V88" s="9"/>
    </row>
    <row r="89" customFormat="false" ht="12.75" hidden="false" customHeight="false" outlineLevel="0" collapsed="false">
      <c r="Q89" s="9" t="s">
        <v>94</v>
      </c>
      <c r="R89" s="9"/>
      <c r="S89" s="216" t="n">
        <f aca="false">VLOOKUP((S87),($S$23:$U$82),3,0)</f>
        <v>0</v>
      </c>
      <c r="T89" s="9"/>
    </row>
    <row r="90" customFormat="false" ht="12.75" hidden="false" customHeight="false" outlineLevel="0" collapsed="false">
      <c r="Q90" s="9" t="s">
        <v>95</v>
      </c>
      <c r="R90" s="9"/>
      <c r="S90" s="253" t="str">
        <f aca="false">IF(ISERROR(SUM($T$23:$T$82)/SUM($U$23:$U$82)),"",(SUM($T$23:$T$82)-S88)/(SUM($U$23:$U$82)-S89))</f>
        <v/>
      </c>
      <c r="T90" s="9"/>
    </row>
    <row r="91" customFormat="false" ht="12.75" hidden="false" customHeight="false" outlineLevel="0" collapsed="false">
      <c r="Q91" s="215" t="s">
        <v>96</v>
      </c>
      <c r="R91" s="215"/>
      <c r="S91" s="215" t="e">
        <f aca="false">INDEX(,$T$91)</f>
        <v>#VALUE!</v>
      </c>
      <c r="T91" s="9" t="e">
        <f aca="false">IF(ISERROR(MATCH($S$93,,0)),MATCH($S$93,,0),(MATCH($S$93,,0)))</f>
        <v>#VALUE!</v>
      </c>
      <c r="U91" s="242"/>
    </row>
    <row r="92" customFormat="false" ht="12.75" hidden="false" customHeight="false" outlineLevel="0" collapsed="false">
      <c r="Q92" s="9" t="s">
        <v>97</v>
      </c>
      <c r="R92" s="9"/>
      <c r="S92" s="9" t="n">
        <f aca="false">MATCH(S87,$S$23:$S$82,0)</f>
        <v>1</v>
      </c>
      <c r="T92" s="9"/>
    </row>
    <row r="93" customFormat="false" ht="12.75" hidden="false" customHeight="false" outlineLevel="0" collapsed="false">
      <c r="Q93" s="215" t="s">
        <v>98</v>
      </c>
      <c r="R93" s="9"/>
      <c r="S93" s="215" t="str">
        <f aca="false">INDEX($A$23:$A$82,$S$92)</f>
        <v>SPISPX</v>
      </c>
      <c r="T93" s="9"/>
    </row>
    <row r="94" customFormat="false" ht="12.75" hidden="false" customHeight="false" outlineLevel="0" collapsed="false">
      <c r="S94" s="242"/>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2024-03-14T21:43:49Z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