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4100" sheetId="1" state="visible" r:id="rId3"/>
  </sheets>
  <definedNames>
    <definedName function="false" hidden="false" localSheetId="0" name="_xlnm.Print_Area" vbProcedure="false">'04004100'!$A$1:$Q$82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<sst xmlns="http://schemas.openxmlformats.org/spreadsheetml/2006/main" count="173" uniqueCount="110">
  <si>
    <t xml:space="preserve">Relevés floristiques aquatiques - IBMR</t>
  </si>
  <si>
    <t xml:space="preserve">AQUABIO</t>
  </si>
  <si>
    <t xml:space="preserve">Nicolas CONDUCHE, Rémy MARCEL</t>
  </si>
  <si>
    <t xml:space="preserve">la Loire</t>
  </si>
  <si>
    <t xml:space="preserve">LOIRE À MALVALETTE</t>
  </si>
  <si>
    <t xml:space="preserve">04004100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</si>
  <si>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</si>
  <si>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</si>
  <si>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</si>
  <si>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</si>
  <si>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</si>
  <si>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</si>
  <si>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</si>
  <si>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</si>
  <si>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</si>
  <si>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</si>
  <si>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</si>
  <si>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</si>
  <si>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</si>
  <si>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</si>
  <si>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</si>
  <si>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</si>
  <si>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</si>
  <si>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</si>
  <si>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</si>
  <si>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</si>
  <si>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</si>
  <si>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</si>
  <si>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</si>
  <si>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</si>
  <si>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</si>
  <si>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</si>
  <si>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</si>
  <si>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</si>
  <si>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</si>
  <si>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</si>
  <si>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</si>
  <si>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</si>
  <si>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</si>
  <si>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</si>
  <si>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</si>
  <si>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</si>
  <si>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</si>
  <si>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</si>
  <si>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</si>
  <si>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</si>
  <si>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</si>
  <si>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</si>
  <si>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</si>
  <si>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</si>
  <si>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</si>
  <si>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</si>
  <si>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</si>
  <si>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</si>
  <si>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</si>
  <si>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</si>
  <si>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</si>
  <si>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</si>
  <si>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</si>
  <si>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</si>
  <si>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</si>
  <si>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</si>
  <si>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</si>
  <si>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</si>
  <si>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</si>
  <si>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</si>
  <si>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</si>
  <si>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</si>
  <si>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</si>
  <si>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</si>
  <si>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</si>
  <si>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</si>
  <si>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</si>
  <si>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</si>
  <si>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</si>
  <si>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</si>
  <si>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AUDSPX</t>
  </si>
  <si>
    <t xml:space="preserve"> -</t>
  </si>
  <si>
    <t xml:space="preserve">CLASPX</t>
  </si>
  <si>
    <t xml:space="preserve">GOMSPX</t>
  </si>
  <si>
    <t xml:space="preserve">HEOSPX</t>
  </si>
  <si>
    <t xml:space="preserve">LEASPX</t>
  </si>
  <si>
    <t xml:space="preserve">MELSPX</t>
  </si>
  <si>
    <t xml:space="preserve">OEDSPX</t>
  </si>
  <si>
    <t xml:space="preserve">PAASPX</t>
  </si>
  <si>
    <t xml:space="preserve">PHOSPX</t>
  </si>
  <si>
    <t xml:space="preserve">RHISPX</t>
  </si>
  <si>
    <t xml:space="preserve">TETSPX</t>
  </si>
  <si>
    <t xml:space="preserve">FISFON</t>
  </si>
  <si>
    <t xml:space="preserve">FONANT</t>
  </si>
  <si>
    <t xml:space="preserve">HYAFLU</t>
  </si>
  <si>
    <t xml:space="preserve">LEORIP</t>
  </si>
  <si>
    <t xml:space="preserve">RHYRIP</t>
  </si>
  <si>
    <t xml:space="preserve">ELONUT</t>
  </si>
  <si>
    <t xml:space="preserve">MYRSPI</t>
  </si>
  <si>
    <t xml:space="preserve">POTCRI</t>
  </si>
  <si>
    <t xml:space="preserve">RANPEU</t>
  </si>
  <si>
    <t xml:space="preserve">CARACU</t>
  </si>
  <si>
    <t xml:space="preserve">ELEPAL</t>
  </si>
  <si>
    <t xml:space="preserve">cf.</t>
  </si>
  <si>
    <t xml:space="preserve">PHAARU</t>
  </si>
  <si>
    <t xml:space="preserve">SCISYL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</si>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</sst>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42885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10.1190476190476</v>
      </c>
      <c r="N5" s="48"/>
      <c r="O5" s="49" t="s">
        <v>15</v>
      </c>
      <c r="P5" s="50" t="n">
        <v>9.30555555555556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/>
      <c r="C6" s="53"/>
      <c r="D6" s="54"/>
      <c r="E6" s="54"/>
      <c r="F6" s="55"/>
      <c r="G6" s="43"/>
      <c r="H6" s="41"/>
      <c r="I6" s="6"/>
      <c r="J6" s="56"/>
      <c r="K6" s="57"/>
      <c r="L6" s="58" t="s">
        <v>17</v>
      </c>
      <c r="M6" s="59" t="s">
        <v>18</v>
      </c>
      <c r="N6" s="60"/>
      <c r="O6" s="61" t="n">
        <v>1</v>
      </c>
      <c r="P6" s="62" t="s">
        <v>19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20</v>
      </c>
      <c r="B7" s="65" t="n">
        <v>55</v>
      </c>
      <c r="C7" s="66" t="n">
        <v>45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21</v>
      </c>
      <c r="P7" s="75" t="s">
        <v>22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23</v>
      </c>
      <c r="B8" s="40"/>
      <c r="C8" s="40"/>
      <c r="D8" s="54"/>
      <c r="E8" s="54"/>
      <c r="F8" s="77" t="s">
        <v>24</v>
      </c>
      <c r="G8" s="78"/>
      <c r="H8" s="54"/>
      <c r="I8" s="6"/>
      <c r="J8" s="69"/>
      <c r="K8" s="70"/>
      <c r="L8" s="71"/>
      <c r="M8" s="72"/>
      <c r="N8" s="79" t="s">
        <v>25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26</v>
      </c>
      <c r="B9" s="65" t="n">
        <v>19.3999996185303</v>
      </c>
      <c r="C9" s="66" t="n">
        <v>6.59999990463257</v>
      </c>
      <c r="D9" s="82"/>
      <c r="E9" s="82"/>
      <c r="F9" s="83" t="n">
        <f aca="false">($B9*$B$7+$C9*$C$7)/100</f>
        <v>13.6399997472763</v>
      </c>
      <c r="G9" s="84"/>
      <c r="H9" s="41"/>
      <c r="I9" s="6"/>
      <c r="J9" s="85"/>
      <c r="K9" s="86"/>
      <c r="L9" s="71"/>
      <c r="M9" s="87"/>
      <c r="N9" s="79" t="s">
        <v>27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28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29</v>
      </c>
      <c r="L10" s="92"/>
      <c r="M10" s="93"/>
      <c r="N10" s="79" t="s">
        <v>30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31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32</v>
      </c>
      <c r="K11" s="101"/>
      <c r="L11" s="102" t="n">
        <f aca="false">COUNTIF($G$23:$G$82,"=HET")</f>
        <v>0</v>
      </c>
      <c r="M11" s="103"/>
      <c r="N11" s="79" t="s">
        <v>33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34</v>
      </c>
      <c r="B12" s="105" t="n">
        <v>19.1000003814697</v>
      </c>
      <c r="C12" s="106" t="n">
        <v>6.5</v>
      </c>
      <c r="D12" s="82"/>
      <c r="E12" s="82"/>
      <c r="F12" s="99" t="n">
        <f aca="false">($B12*$B$7+$C12*$C$7)/100</f>
        <v>13.4300002098084</v>
      </c>
      <c r="G12" s="100"/>
      <c r="H12" s="54"/>
      <c r="I12" s="6"/>
      <c r="J12" s="101" t="s">
        <v>35</v>
      </c>
      <c r="K12" s="101"/>
      <c r="L12" s="102" t="n">
        <f aca="false">COUNTIF($G$23:$G$82,"=ALG")</f>
        <v>0</v>
      </c>
      <c r="M12" s="103"/>
      <c r="N12" s="107"/>
      <c r="O12" s="108" t="s">
        <v>29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36</v>
      </c>
      <c r="B13" s="105" t="n">
        <v>0.100000001490116</v>
      </c>
      <c r="C13" s="106" t="n">
        <v>0.00999999977648258</v>
      </c>
      <c r="D13" s="82"/>
      <c r="E13" s="82"/>
      <c r="F13" s="99" t="n">
        <f aca="false">($B13*$B$7+$C13*$C$7)/100</f>
        <v>0.059500000718981</v>
      </c>
      <c r="G13" s="100"/>
      <c r="H13" s="54"/>
      <c r="I13" s="6"/>
      <c r="J13" s="101" t="s">
        <v>37</v>
      </c>
      <c r="K13" s="101"/>
      <c r="L13" s="102" t="n">
        <f aca="false">COUNTIF($G$23:$G$82,"=BRm")+COUNTIF($G$23:$G$82,"=BRh")</f>
        <v>0</v>
      </c>
      <c r="M13" s="103"/>
      <c r="N13" s="111" t="s">
        <v>38</v>
      </c>
      <c r="O13" s="112" t="n">
        <f aca="false">COUNTIF(F23:F82,"&gt;0")</f>
        <v>25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39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40</v>
      </c>
      <c r="K14" s="101"/>
      <c r="L14" s="102" t="n">
        <f aca="false">COUNTIF($G$23:$G$82,"=PTE")+COUNTIF($G$23:$G$82,"=LIC")</f>
        <v>0</v>
      </c>
      <c r="M14" s="103"/>
      <c r="N14" s="114" t="s">
        <v>41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42</v>
      </c>
      <c r="B15" s="118" t="n">
        <v>0.200000002980232</v>
      </c>
      <c r="C15" s="119" t="n">
        <v>0.100000001490116</v>
      </c>
      <c r="D15" s="82"/>
      <c r="E15" s="82"/>
      <c r="F15" s="99" t="n">
        <f aca="false">($B15*$B$7+$C15*$C$7)/100</f>
        <v>0.15500000230968</v>
      </c>
      <c r="G15" s="100"/>
      <c r="H15" s="54"/>
      <c r="I15" s="6"/>
      <c r="J15" s="101" t="s">
        <v>43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44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45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46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47</v>
      </c>
      <c r="B17" s="105" t="n">
        <v>19.3999996185303</v>
      </c>
      <c r="C17" s="106" t="n">
        <v>6.5</v>
      </c>
      <c r="D17" s="82"/>
      <c r="E17" s="82"/>
      <c r="F17" s="124"/>
      <c r="G17" s="125" t="n">
        <f aca="false">($B17*$B$7+$C17*$C$7)/100</f>
        <v>13.5949997901917</v>
      </c>
      <c r="H17" s="54"/>
      <c r="I17" s="6"/>
      <c r="J17" s="126"/>
      <c r="K17" s="127"/>
      <c r="L17" s="128" t="s">
        <v>48</v>
      </c>
      <c r="M17" s="129" t="n">
        <f aca="false">IF(ISERROR((O13-(COUNTIF(J23:J82,"nc")))/O13),"-",(O13-(COUNTIF(J23:J82,"nc")))/O13)</f>
        <v>1</v>
      </c>
      <c r="N17" s="111" t="s">
        <v>49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50</v>
      </c>
      <c r="B18" s="132" t="n">
        <v>0.00999999977648258</v>
      </c>
      <c r="C18" s="133" t="n">
        <v>0.100000001490116</v>
      </c>
      <c r="D18" s="82"/>
      <c r="E18" s="134" t="s">
        <v>51</v>
      </c>
      <c r="F18" s="124"/>
      <c r="G18" s="125" t="n">
        <f aca="false">($B18*$B$7+$C18*$C$7)/100</f>
        <v>0.0505000005476177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0</v>
      </c>
      <c r="F19" s="144" t="n">
        <f aca="false">SUM(F11:F15)</f>
        <v>13.644500212837</v>
      </c>
      <c r="G19" s="145" t="n">
        <f aca="false">SUM(G16:G18)</f>
        <v>13.6454997907393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52</v>
      </c>
      <c r="B20" s="154" t="n">
        <f aca="false">SUM(B23:B82)</f>
        <v>19.5122999772429</v>
      </c>
      <c r="C20" s="155" t="n">
        <f aca="false">SUM(C23:C82)</f>
        <v>6.82600002735853</v>
      </c>
      <c r="D20" s="156"/>
      <c r="E20" s="157" t="s">
        <v>51</v>
      </c>
      <c r="F20" s="158" t="n">
        <f aca="false">($B20*$B$7+$C20*$C$7)/100</f>
        <v>13.803464999795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53</v>
      </c>
      <c r="B21" s="166" t="n">
        <f aca="false">B20*B7/100</f>
        <v>10.7317649874836</v>
      </c>
      <c r="C21" s="166" t="n">
        <f aca="false">C20*C7/100</f>
        <v>3.07170001231134</v>
      </c>
      <c r="D21" s="167" t="s">
        <v>54</v>
      </c>
      <c r="E21" s="168"/>
      <c r="F21" s="169" t="n">
        <f aca="false">B21+C21</f>
        <v>13.803464999795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55</v>
      </c>
    </row>
    <row r="22" customFormat="false" ht="12.75" hidden="false" customHeight="false" outlineLevel="0" collapsed="false">
      <c r="A22" s="178" t="s">
        <v>56</v>
      </c>
      <c r="B22" s="179" t="s">
        <v>57</v>
      </c>
      <c r="C22" s="179" t="s">
        <v>57</v>
      </c>
      <c r="D22" s="180"/>
      <c r="E22" s="181"/>
      <c r="F22" s="182" t="s">
        <v>58</v>
      </c>
      <c r="G22" s="183" t="s">
        <v>59</v>
      </c>
      <c r="H22" s="82" t="s">
        <v>60</v>
      </c>
      <c r="I22" s="6" t="s">
        <v>61</v>
      </c>
      <c r="J22" s="184" t="s">
        <v>62</v>
      </c>
      <c r="K22" s="184" t="s">
        <v>63</v>
      </c>
      <c r="L22" s="185" t="s">
        <v>64</v>
      </c>
      <c r="M22" s="185"/>
      <c r="N22" s="185"/>
      <c r="O22" s="185"/>
      <c r="P22" s="177" t="s">
        <v>65</v>
      </c>
      <c r="Q22" s="186" t="s">
        <v>66</v>
      </c>
      <c r="R22" s="187" t="s">
        <v>67</v>
      </c>
      <c r="S22" s="188" t="s">
        <v>68</v>
      </c>
      <c r="T22" s="189" t="s">
        <v>69</v>
      </c>
      <c r="U22" s="189" t="s">
        <v>70</v>
      </c>
      <c r="V22" s="190" t="s">
        <v>71</v>
      </c>
      <c r="W22" s="191" t="s">
        <v>72</v>
      </c>
      <c r="X22" s="191" t="s">
        <v>73</v>
      </c>
      <c r="Y22" s="192" t="s">
        <v>74</v>
      </c>
      <c r="Z22" s="192" t="s">
        <v>75</v>
      </c>
    </row>
    <row r="23" customFormat="false" ht="12.75" hidden="false" customHeight="false" outlineLevel="0" collapsed="false">
      <c r="A23" s="193" t="s">
        <v>76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0.00549999987706542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77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AUDSPX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78</v>
      </c>
      <c r="B24" s="211" t="n">
        <v>0.100000001490116</v>
      </c>
      <c r="C24" s="212" t="n">
        <v>0.400000005960465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0.235000003501773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77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79</v>
      </c>
      <c r="B25" s="211" t="n">
        <v>0.00999999977648258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0.00999999977648258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77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GOMSPX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80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0.00449999989941716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77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HEOSPX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4</v>
      </c>
      <c r="C27" s="212" t="n">
        <v>1.10000002384186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2.69500001072884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77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HILSPX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81</v>
      </c>
      <c r="B28" s="211" t="n">
        <v>0.0140000004321337</v>
      </c>
      <c r="C28" s="212" t="n">
        <v>0.0140000004321337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0.0140000004321337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77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LEASPX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82</v>
      </c>
      <c r="B29" s="211" t="n">
        <v>0.0120000001043081</v>
      </c>
      <c r="C29" s="212" t="n">
        <v>0.0120000001043081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0.0120000001043081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77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MELSPX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83</v>
      </c>
      <c r="B30" s="211" t="n">
        <v>0.00999999977648258</v>
      </c>
      <c r="C30" s="212" t="n">
        <v>0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0.00549999987706542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77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OEDSPX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84</v>
      </c>
      <c r="B31" s="211" t="n">
        <v>15.0062999725342</v>
      </c>
      <c r="C31" s="212" t="n">
        <v>5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10.5034649848938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77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PAASPX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85</v>
      </c>
      <c r="B32" s="211" t="n">
        <v>0</v>
      </c>
      <c r="C32" s="212" t="n">
        <v>0.00999999977648258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0.00449999989941716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77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86</v>
      </c>
      <c r="B33" s="211" t="n">
        <v>0.00999999977648258</v>
      </c>
      <c r="C33" s="212" t="n">
        <v>0.0299999993294477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0.0189999995753169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77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RHISPX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87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77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TETSPX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88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0.00449999989941716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77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FISFON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89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0.00449999989941716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77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FONANT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90</v>
      </c>
      <c r="B37" s="211" t="n">
        <v>0</v>
      </c>
      <c r="C37" s="212" t="n">
        <v>0.0199999995529652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0.00899999979883432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77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HYAFLU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91</v>
      </c>
      <c r="B38" s="211" t="n">
        <v>0.00999999977648258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0.00999999977648258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77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LEORIP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92</v>
      </c>
      <c r="B39" s="211" t="n">
        <v>0.100000001490116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0.059500000718981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77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RHYRIP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93</v>
      </c>
      <c r="B40" s="211" t="n">
        <v>0</v>
      </c>
      <c r="C40" s="212" t="n">
        <v>0.00999999977648258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0.00449999989941716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77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ELONUT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94</v>
      </c>
      <c r="B41" s="211" t="n">
        <v>0.0199999995529652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0.015499999653548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77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MYRSPI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95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0.00449999989941716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77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POTCRI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96</v>
      </c>
      <c r="B43" s="211" t="n">
        <v>0.200000002980232</v>
      </c>
      <c r="C43" s="212" t="n">
        <v>0.00999999977648258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0.114500001538545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77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RANPEU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97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0.00449999989941716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77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CARACU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 t="s">
        <v>98</v>
      </c>
      <c r="B45" s="211" t="n">
        <v>0</v>
      </c>
      <c r="C45" s="212" t="n">
        <v>0.00999999977648258</v>
      </c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n">
        <f aca="false">IF(AND(OR(A45="",A45="!!!!!!"),B45="",C45=""),"",IF(OR(AND(B45="",C45=""),ISERROR(C45+B45)),"!!!",($B45*$B$7+$C45*$C$7)/100))</f>
        <v>0.00449999989941716</v>
      </c>
      <c r="G45" s="216" t="str">
        <f aca="false">IF(A45="","",IF(ISERROR(VLOOKUP($A45,,9,0)),IF(ISERROR(VLOOKUP($A45,,8,0)),"    -",VLOOKUP($A45,,8,0)),VLOOKUP($A45,,9,0)))</f>
        <v>    -</v>
      </c>
      <c r="H45" s="217" t="str">
        <f aca="false">IF(A45="","x",IF(ISERROR(VLOOKUP($A45,,10,0)),IF(ISERROR(VLOOKUP($A45,,9,0)),"x",VLOOKUP($A45,,9,0)),VLOOKUP($A45,,10,0)))</f>
        <v>x</v>
      </c>
      <c r="I45" s="6" t="n">
        <f aca="false">IF(A45="","",1)</f>
        <v>1</v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>non répertorié ou synonyme. Vérifiez !</v>
      </c>
      <c r="M45" s="219"/>
      <c r="N45" s="219"/>
      <c r="O45" s="219"/>
      <c r="P45" s="220" t="s">
        <v>99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>ELEPAL</v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 t="s">
        <v>100</v>
      </c>
      <c r="B46" s="211" t="n">
        <v>0</v>
      </c>
      <c r="C46" s="212" t="n">
        <v>0.100000001490116</v>
      </c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n">
        <f aca="false">IF(AND(OR(A46="",A46="!!!!!!"),B46="",C46=""),"",IF(OR(AND(B46="",C46=""),ISERROR(C46+B46)),"!!!",($B46*$B$7+$C46*$C$7)/100))</f>
        <v>0.0450000006705523</v>
      </c>
      <c r="G46" s="216" t="str">
        <f aca="false">IF(A46="","",IF(ISERROR(VLOOKUP($A46,,9,0)),IF(ISERROR(VLOOKUP($A46,,8,0)),"    -",VLOOKUP($A46,,8,0)),VLOOKUP($A46,,9,0)))</f>
        <v>    -</v>
      </c>
      <c r="H46" s="217" t="str">
        <f aca="false">IF(A46="","x",IF(ISERROR(VLOOKUP($A46,,10,0)),IF(ISERROR(VLOOKUP($A46,,9,0)),"x",VLOOKUP($A46,,9,0)),VLOOKUP($A46,,10,0)))</f>
        <v>x</v>
      </c>
      <c r="I46" s="6" t="n">
        <f aca="false">IF(A46="","",1)</f>
        <v>1</v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>non répertorié ou synonyme. Vérifiez !</v>
      </c>
      <c r="M46" s="219"/>
      <c r="N46" s="219"/>
      <c r="O46" s="219"/>
      <c r="P46" s="220" t="s">
        <v>77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>PHAARU</v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 t="s">
        <v>101</v>
      </c>
      <c r="B47" s="211" t="n">
        <v>0</v>
      </c>
      <c r="C47" s="212" t="n">
        <v>0.00999999977648258</v>
      </c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n">
        <f aca="false">IF(AND(OR(A47="",A47="!!!!!!"),B47="",C47=""),"",IF(OR(AND(B47="",C47=""),ISERROR(C47+B47)),"!!!",($B47*$B$7+$C47*$C$7)/100))</f>
        <v>0.00449999989941716</v>
      </c>
      <c r="G47" s="216" t="str">
        <f aca="false">IF(A47="","",IF(ISERROR(VLOOKUP($A47,,9,0)),IF(ISERROR(VLOOKUP($A47,,8,0)),"    -",VLOOKUP($A47,,8,0)),VLOOKUP($A47,,9,0)))</f>
        <v>    -</v>
      </c>
      <c r="H47" s="217" t="str">
        <f aca="false">IF(A47="","x",IF(ISERROR(VLOOKUP($A47,,10,0)),IF(ISERROR(VLOOKUP($A47,,9,0)),"x",VLOOKUP($A47,,9,0)),VLOOKUP($A47,,10,0)))</f>
        <v>x</v>
      </c>
      <c r="I47" s="6" t="n">
        <f aca="false">IF(A47="","",1)</f>
        <v>1</v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>non répertorié ou synonyme. Vérifiez !</v>
      </c>
      <c r="M47" s="219"/>
      <c r="N47" s="219"/>
      <c r="O47" s="219"/>
      <c r="P47" s="220" t="s">
        <v>77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>SCISYL</v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77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77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77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77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77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77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77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77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77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77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77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77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77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77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77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77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77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77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77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77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77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77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77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77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77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77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77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77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77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77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77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77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77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77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77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13.803464999795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Loire</v>
      </c>
      <c r="B84" s="175" t="str">
        <f aca="false">C3</f>
        <v>LOIRE À MALVALETTE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25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13.803464999795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106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109</v>
      </c>
      <c r="S93" s="6"/>
      <c r="T93" s="207" t="str">
        <f aca="false">INDEX($A$23:$A$82,$T$92)</f>
        <v>AUDSPX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