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040" sheetId="1" state="visible" r:id="rId3"/>
  </sheets>
  <definedNames>
    <definedName function="false" hidden="false" localSheetId="0" name="_xlnm.Print_Area" vbProcedure="false">'04014040'!$A$1:$O$82</definedName>
    <definedName function="false" hidden="false" localSheetId="0" name="Cf." vbProcedure="false"/>
    <definedName function="false" hidden="false" localSheetId="0" name="NOM" vbProcedure="false">'04014040'!$H$1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<sst xmlns="http://schemas.openxmlformats.org/spreadsheetml/2006/main" count="119" uniqueCount="113">
  <si>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</si>
  <si>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</si>
  <si>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</si>
  <si>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</si>
  <si>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</si>
  <si>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LA TRAMBOUZE</t>
  </si>
  <si>
    <t xml:space="preserve">TRAMBOUZE à MONTAGNY</t>
  </si>
  <si>
    <t xml:space="preserve">04014040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</si>
  <si>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</si>
  <si>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</si>
  <si>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</si>
  <si>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</si>
  <si>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</si>
  <si>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</si>
  <si>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</si>
  <si>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</si>
  <si>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</si>
  <si>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</si>
  <si>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</si>
  <si>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</si>
  <si>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</si>
  <si>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</si>
  <si>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</si>
  <si>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</si>
  <si>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</si>
  <si>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</si>
  <si>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</si>
  <si>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</si>
  <si>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</si>
  <si>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</si>
  <si>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</si>
  <si>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</si>
  <si>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</si>
  <si>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</si>
  <si>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</si>
  <si>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</si>
  <si>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</si>
  <si>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</si>
  <si>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</si>
  <si>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</si>
  <si>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</si>
  <si>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</si>
  <si>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</si>
  <si>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</si>
  <si>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</si>
  <si>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</si>
  <si>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</si>
  <si>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</si>
  <si>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</si>
  <si>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</si>
  <si>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</si>
  <si>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</si>
  <si>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</si>
  <si>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</si>
  <si>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</si>
  <si>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</si>
  <si>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</si>
  <si>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</si>
  <si>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(6,24038045797497 %)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</si>
  <si>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</si>
  <si>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</si>
  <si>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</si>
  <si>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</si>
  <si>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</si>
  <si>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</si>
  <si>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</si>
  <si>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</si>
  <si>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</si>
  <si>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</si>
  <si>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</si>
  <si>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</si>
  <si>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</si>
  <si>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</si>
  <si>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</si>
  <si>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</si>
  <si>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</si>
  <si>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</si>
  <si>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</si>
  <si>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CASSEP</t>
  </si>
  <si>
    <t xml:space="preserve">LYTSAL</t>
  </si>
  <si>
    <t xml:space="preserve">LYSVUL</t>
  </si>
  <si>
    <t xml:space="preserve">PHOSPX</t>
  </si>
  <si>
    <t xml:space="preserve">POLHYD</t>
  </si>
  <si>
    <t xml:space="preserve">newcod</t>
  </si>
  <si>
    <t xml:space="preserve">Rorippa sylvestris</t>
  </si>
  <si>
    <t xml:space="preserve">OEDSPX</t>
  </si>
  <si>
    <t xml:space="preserve">EQUPAL</t>
  </si>
  <si>
    <t xml:space="preserve">PHAARU</t>
  </si>
  <si>
    <t xml:space="preserve">MELSPX</t>
  </si>
  <si>
    <t xml:space="preserve">RANREP</t>
  </si>
  <si>
    <t xml:space="preserve">AUDSPX</t>
  </si>
  <si>
    <t xml:space="preserve">Jaaginema sp.</t>
  </si>
  <si>
    <t xml:space="preserve">Rhoicosphenia sp.</t>
  </si>
  <si>
    <t xml:space="preserve">FISCRA</t>
  </si>
  <si>
    <t xml:space="preserve">SOADUL</t>
  </si>
  <si>
    <t xml:space="preserve">SPASPX</t>
  </si>
  <si>
    <t xml:space="preserve">EURSPX</t>
  </si>
  <si>
    <t xml:space="preserve">LEASPX</t>
  </si>
  <si>
    <t xml:space="preserve">AMBRIP</t>
  </si>
  <si>
    <t xml:space="preserve">Gongrosira sp</t>
  </si>
  <si>
    <t xml:space="preserve">RHYRIP</t>
  </si>
  <si>
    <t xml:space="preserve">HILSPX</t>
  </si>
  <si>
    <t xml:space="preserve">FONANT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</si>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</sst>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10.4705882352941</v>
      </c>
      <c r="M5" s="52"/>
      <c r="N5" s="53"/>
      <c r="O5" s="54" t="n">
        <v>9.86666666666667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35</v>
      </c>
      <c r="C7" s="66" t="n">
        <v>65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6</v>
      </c>
      <c r="C9" s="85" t="n">
        <v>2</v>
      </c>
      <c r="D9" s="86"/>
      <c r="E9" s="86"/>
      <c r="F9" s="87" t="n">
        <f aca="false">($B9*$B$7+$C9*$C$7)/100</f>
        <v>3.4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25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11.6444882787764</v>
      </c>
      <c r="C20" s="164" t="n">
        <f aca="false">SUM(C23:C82)</f>
        <v>3.3304762467742</v>
      </c>
      <c r="D20" s="165"/>
      <c r="E20" s="166" t="s">
        <v>52</v>
      </c>
      <c r="F20" s="167" t="n">
        <f aca="false">($B20*$B$7+$C20*$C$7)/100</f>
        <v>6.24038045797497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4.07557089757174</v>
      </c>
      <c r="C21" s="177" t="n">
        <f aca="false">C20*C7/100</f>
        <v>2.16480956040323</v>
      </c>
      <c r="D21" s="109" t="str">
        <f aca="false">IF(F21=0,"",IF((ABS(F21-F19))&gt;(0.2*F21),CONCATENATE(" rec. par taxa (",F21," %) supérieur à 20 % !"),""))</f>
        <v> rec. par taxa (6,24038045797497 %)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6.24038045797497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0.00649999985471368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CASSEP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0.00649999985471368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LYTSAL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0.00649999985471368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LYSVUL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0.00649999985471368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2</v>
      </c>
      <c r="W26" s="217"/>
      <c r="Y26" s="215" t="str">
        <f aca="false">IF(A26="new.cod","NEWCOD",IF(AND((Z26=""),ISTEXT(A26)),A26,IF(Z26="","",INDEX(,Z26))))</f>
        <v>PHOSPX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0.00649999985471368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2</v>
      </c>
      <c r="W27" s="217"/>
      <c r="Y27" s="215" t="str">
        <f aca="false">IF(A27="new.cod","NEWCOD",IF(AND((Z27=""),ISTEXT(A27)),A27,IF(Z27="","",INDEX(,Z27))))</f>
        <v>POLHYD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0.00649999985471368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>No</v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newcod</v>
      </c>
      <c r="Z28" s="9" t="str">
        <f aca="false">IF(ISERROR(MATCH(A28,,0)),IF(ISERROR(MATCH(A28,,0)),"",(MATCH(A28,,0))),(MATCH(A28,,0)))</f>
        <v/>
      </c>
      <c r="AA28" s="218"/>
      <c r="AB28" s="220" t="s">
        <v>84</v>
      </c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0.00649999985471368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2</v>
      </c>
      <c r="W29" s="217"/>
      <c r="Y29" s="215" t="str">
        <f aca="false">IF(A29="new.cod","NEWCOD",IF(AND((Z29=""),ISTEXT(A29)),A29,IF(Z29="","",INDEX(,Z29))))</f>
        <v>OEDSPX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0.00649999985471368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1</v>
      </c>
      <c r="W30" s="217"/>
      <c r="Y30" s="215" t="str">
        <f aca="false">IF(A30="new.cod","NEWCOD",IF(AND((Z30=""),ISTEXT(A30)),A30,IF(Z30="","",INDEX(,Z30))))</f>
        <v>EQUPAL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0.150000005960464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0.101000003796071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PHAARU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0.00999999977648258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0.00999999977648258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1</v>
      </c>
      <c r="W32" s="217"/>
      <c r="Y32" s="215" t="str">
        <f aca="false">IF(A32="new.cod","NEWCOD",IF(AND((Z32=""),ISTEXT(A32)),A32,IF(Z32="","",INDEX(,Z32))))</f>
        <v>MELSPX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0.00999999977648258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0.00999999977648258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>RANREP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0.00999999977648258</v>
      </c>
      <c r="C34" s="222" t="n">
        <v>0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0.0034999999217689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2</v>
      </c>
      <c r="W34" s="217"/>
      <c r="Y34" s="215" t="str">
        <f aca="false">IF(A34="new.cod","NEWCOD",IF(AND((Z34=""),ISTEXT(A34)),A34,IF(Z34="","",INDEX(,Z34))))</f>
        <v>AUDSPX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83</v>
      </c>
      <c r="B35" s="221" t="n">
        <v>0.00999999977648258</v>
      </c>
      <c r="C35" s="222" t="n">
        <v>0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0.0034999999217689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>No</v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>newcod</v>
      </c>
      <c r="Z35" s="9" t="str">
        <f aca="false">IF(ISERROR(MATCH(A35,,0)),IF(ISERROR(MATCH(A35,,0)),"",(MATCH(A35,,0))),(MATCH(A35,,0)))</f>
        <v/>
      </c>
      <c r="AA35" s="218"/>
      <c r="AB35" s="220" t="s">
        <v>91</v>
      </c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83</v>
      </c>
      <c r="B36" s="221" t="n">
        <v>0.00999999977648258</v>
      </c>
      <c r="C36" s="222" t="n">
        <v>0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0.0034999999217689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>No</v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>newcod</v>
      </c>
      <c r="Z36" s="9" t="str">
        <f aca="false">IF(ISERROR(MATCH(A36,,0)),IF(ISERROR(MATCH(A36,,0)),"",(MATCH(A36,,0))),(MATCH(A36,,0)))</f>
        <v/>
      </c>
      <c r="AA36" s="218"/>
      <c r="AB36" s="220" t="s">
        <v>92</v>
      </c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0.00999999977648258</v>
      </c>
      <c r="C37" s="222" t="n">
        <v>0.00999999977648258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0.00999999977648258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2</v>
      </c>
      <c r="W37" s="217"/>
      <c r="Y37" s="215" t="str">
        <f aca="false">IF(A37="new.cod","NEWCOD",IF(AND((Z37=""),ISTEXT(A37)),A37,IF(Z37="","",INDEX(,Z37))))</f>
        <v>FISCRA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0.00999999977648258</v>
      </c>
      <c r="C38" s="222" t="n">
        <v>0.00999999977648258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0.00999999977648258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>SOADUL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0.00999999977648258</v>
      </c>
      <c r="C39" s="222" t="n">
        <v>0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0.0034999999217689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>SPASPX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0.00999999977648258</v>
      </c>
      <c r="C40" s="222" t="n">
        <v>0</v>
      </c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0.0034999999217689</v>
      </c>
      <c r="G40" s="226" t="str">
        <f aca="false">IF(A40="","",IF(ISERROR(VLOOKUP($A40,,13,0)),IF(ISERROR(VLOOKUP($A40,,12,0)),"    -",VLOOKUP($A40,,12,0)),VLOOKUP($A40,,13,0)))</f>
        <v>    -</v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>EURSPX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n">
        <f aca="false">IF(A40="","",1)</f>
        <v>1</v>
      </c>
    </row>
    <row r="41" customFormat="false" ht="12.75" hidden="false" customHeight="false" outlineLevel="0" collapsed="false">
      <c r="A41" s="220" t="s">
        <v>97</v>
      </c>
      <c r="B41" s="221" t="n">
        <v>0.28999999165535</v>
      </c>
      <c r="C41" s="222" t="n">
        <v>0</v>
      </c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0.101499997079372</v>
      </c>
      <c r="G41" s="226" t="str">
        <f aca="false">IF(A41="","",IF(ISERROR(VLOOKUP($A41,,13,0)),IF(ISERROR(VLOOKUP($A41,,12,0)),"    -",VLOOKUP($A41,,12,0)),VLOOKUP($A41,,13,0)))</f>
        <v>    -</v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4</v>
      </c>
      <c r="W41" s="217"/>
      <c r="Y41" s="215" t="str">
        <f aca="false">IF(A41="new.cod","NEWCOD",IF(AND((Z41=""),ISTEXT(A41)),A41,IF(Z41="","",INDEX(,Z41))))</f>
        <v>LEASPX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n">
        <f aca="false">IF(A41="","",1)</f>
        <v>1</v>
      </c>
    </row>
    <row r="42" customFormat="false" ht="12.75" hidden="false" customHeight="false" outlineLevel="0" collapsed="false">
      <c r="A42" s="220" t="s">
        <v>98</v>
      </c>
      <c r="B42" s="221" t="n">
        <v>0.305714309215546</v>
      </c>
      <c r="C42" s="222" t="n">
        <v>0.5</v>
      </c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0.432000008225441</v>
      </c>
      <c r="G42" s="226" t="str">
        <f aca="false">IF(A42="","",IF(ISERROR(VLOOKUP($A42,,13,0)),IF(ISERROR(VLOOKUP($A42,,12,0)),"    -",VLOOKUP($A42,,12,0)),VLOOKUP($A42,,13,0)))</f>
        <v>    -</v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4</v>
      </c>
      <c r="W42" s="217"/>
      <c r="Y42" s="215" t="str">
        <f aca="false">IF(A42="new.cod","NEWCOD",IF(AND((Z42=""),ISTEXT(A42)),A42,IF(Z42="","",INDEX(,Z42))))</f>
        <v>AMBRIP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n">
        <f aca="false">IF(A42="","",1)</f>
        <v>1</v>
      </c>
    </row>
    <row r="43" customFormat="false" ht="12.75" hidden="false" customHeight="false" outlineLevel="0" collapsed="false">
      <c r="A43" s="220" t="s">
        <v>83</v>
      </c>
      <c r="B43" s="221" t="n">
        <v>1.22857105731964</v>
      </c>
      <c r="C43" s="222" t="n">
        <v>0.300000011920929</v>
      </c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0.624999877810478</v>
      </c>
      <c r="G43" s="226" t="str">
        <f aca="false">IF(A43="","",IF(ISERROR(VLOOKUP($A43,,13,0)),IF(ISERROR(VLOOKUP($A43,,12,0)),"    -",VLOOKUP($A43,,12,0)),VLOOKUP($A43,,13,0)))</f>
        <v>    -</v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>No</v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>newcod</v>
      </c>
      <c r="Z43" s="9" t="str">
        <f aca="false">IF(ISERROR(MATCH(A43,,0)),IF(ISERROR(MATCH(A43,,0)),"",(MATCH(A43,,0))),(MATCH(A43,,0)))</f>
        <v/>
      </c>
      <c r="AA43" s="218"/>
      <c r="AB43" s="220" t="s">
        <v>99</v>
      </c>
      <c r="AC43" s="219"/>
      <c r="BC43" s="9" t="n">
        <f aca="false">IF(A43="","",1)</f>
        <v>1</v>
      </c>
    </row>
    <row r="44" customFormat="false" ht="12.75" hidden="false" customHeight="false" outlineLevel="0" collapsed="false">
      <c r="A44" s="220" t="s">
        <v>100</v>
      </c>
      <c r="B44" s="221" t="n">
        <v>1.72428596019745</v>
      </c>
      <c r="C44" s="222" t="n">
        <v>0</v>
      </c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0.603500086069107</v>
      </c>
      <c r="G44" s="226" t="str">
        <f aca="false">IF(A44="","",IF(ISERROR(VLOOKUP($A44,,13,0)),IF(ISERROR(VLOOKUP($A44,,12,0)),"    -",VLOOKUP($A44,,12,0)),VLOOKUP($A44,,13,0)))</f>
        <v>    -</v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2</v>
      </c>
      <c r="W44" s="217"/>
      <c r="Y44" s="215" t="str">
        <f aca="false">IF(A44="new.cod","NEWCOD",IF(AND((Z44=""),ISTEXT(A44)),A44,IF(Z44="","",INDEX(,Z44))))</f>
        <v>RHYRIP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n">
        <f aca="false">IF(A44="","",1)</f>
        <v>1</v>
      </c>
    </row>
    <row r="45" customFormat="false" ht="12.75" hidden="false" customHeight="false" outlineLevel="0" collapsed="false">
      <c r="A45" s="220" t="s">
        <v>101</v>
      </c>
      <c r="B45" s="221" t="n">
        <v>1.77857100963593</v>
      </c>
      <c r="C45" s="222" t="n">
        <v>0.25</v>
      </c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0.784999853372574</v>
      </c>
      <c r="G45" s="226" t="str">
        <f aca="false">IF(A45="","",IF(ISERROR(VLOOKUP($A45,,13,0)),IF(ISERROR(VLOOKUP($A45,,12,0)),"    -",VLOOKUP($A45,,12,0)),VLOOKUP($A45,,13,0)))</f>
        <v>    -</v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4</v>
      </c>
      <c r="W45" s="217"/>
      <c r="Y45" s="215" t="str">
        <f aca="false">IF(A45="new.cod","NEWCOD",IF(AND((Z45=""),ISTEXT(A45)),A45,IF(Z45="","",INDEX(,Z45))))</f>
        <v>HILSPX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n">
        <f aca="false">IF(A45="","",1)</f>
        <v>1</v>
      </c>
    </row>
    <row r="46" customFormat="false" ht="12.75" hidden="false" customHeight="false" outlineLevel="0" collapsed="false">
      <c r="A46" s="220" t="s">
        <v>102</v>
      </c>
      <c r="B46" s="221" t="n">
        <v>2.92857098579407</v>
      </c>
      <c r="C46" s="222" t="n">
        <v>0.5</v>
      </c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1.34999984502792</v>
      </c>
      <c r="G46" s="226" t="str">
        <f aca="false">IF(A46="","",IF(ISERROR(VLOOKUP($A46,,13,0)),IF(ISERROR(VLOOKUP($A46,,12,0)),"    -",VLOOKUP($A46,,12,0)),VLOOKUP($A46,,13,0)))</f>
        <v>    -</v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3</v>
      </c>
      <c r="W46" s="217"/>
      <c r="Y46" s="215" t="str">
        <f aca="false">IF(A46="new.cod","NEWCOD",IF(AND((Z46=""),ISTEXT(A46)),A46,IF(Z46="","",INDEX(,Z46))))</f>
        <v>FONANT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n">
        <f aca="false">IF(A46="","",1)</f>
        <v>1</v>
      </c>
    </row>
    <row r="47" customFormat="false" ht="12.75" hidden="false" customHeight="false" outlineLevel="0" collapsed="false">
      <c r="A47" s="220" t="s">
        <v>103</v>
      </c>
      <c r="B47" s="221" t="n">
        <v>3.2887749671936</v>
      </c>
      <c r="C47" s="222" t="n">
        <v>1.51047623157501</v>
      </c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2.13288078904152</v>
      </c>
      <c r="G47" s="226" t="str">
        <f aca="false">IF(A47="","",IF(ISERROR(VLOOKUP($A47,,13,0)),IF(ISERROR(VLOOKUP($A47,,12,0)),"    -",VLOOKUP($A47,,12,0)),VLOOKUP($A47,,13,0)))</f>
        <v>    -</v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3</v>
      </c>
      <c r="W47" s="217"/>
      <c r="Y47" s="215" t="str">
        <f aca="false">IF(A47="new.cod","NEWCOD",IF(AND((Z47=""),ISTEXT(A47)),A47,IF(Z47="","",INDEX(,Z47))))</f>
        <v>CLASPX</v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n">
        <f aca="false">IF(A47="","",1)</f>
        <v>1</v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104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TRAMBOUZE</v>
      </c>
      <c r="B84" s="253" t="str">
        <f aca="false">C3</f>
        <v>TRAMBOUZE à MONTAGNY</v>
      </c>
      <c r="C84" s="254" t="n">
        <f aca="false">A4</f>
        <v>41106</v>
      </c>
      <c r="D84" s="255" t="str">
        <f aca="false">IF(ISERROR(SUM($T$23:$T$82)/SUM($U$23:$U$82)),"",SUM($T$23:$T$82)/SUM($U$23:$U$82))</f>
        <v/>
      </c>
      <c r="E84" s="256" t="n">
        <f aca="false">N13</f>
        <v>25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6.24038045797497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105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106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107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108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109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110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111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112</v>
      </c>
      <c r="R93" s="9"/>
      <c r="S93" s="215" t="str">
        <f aca="false">INDEX($A$23:$A$82,$S$92)</f>
        <v>CASSEP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8">
    <cfRule type="expression" priority="28" aboveAverage="0" equalAverage="0" bottom="0" percent="0" rank="0" text="" dxfId="26">
      <formula>ISTEXT($E28)</formula>
    </cfRule>
  </conditionalFormatting>
  <conditionalFormatting sqref="AB35">
    <cfRule type="expression" priority="29" aboveAverage="0" equalAverage="0" bottom="0" percent="0" rank="0" text="" dxfId="27">
      <formula>ISTEXT($E35)</formula>
    </cfRule>
  </conditionalFormatting>
  <conditionalFormatting sqref="AB36">
    <cfRule type="expression" priority="30" aboveAverage="0" equalAverage="0" bottom="0" percent="0" rank="0" text="" dxfId="28">
      <formula>ISTEXT($E36)</formula>
    </cfRule>
  </conditionalFormatting>
  <conditionalFormatting sqref="AB43">
    <cfRule type="expression" priority="31" aboveAverage="0" equalAverage="0" bottom="0" percent="0" rank="0" text="" dxfId="29">
      <formula>ISTEXT($E43)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