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EB Dompierre" sheetId="1" state="visible" r:id="rId2"/>
  </sheets>
  <externalReferences>
    <externalReference r:id="rId3"/>
  </externalReferences>
  <definedNames>
    <definedName function="false" hidden="false" localSheetId="0" name="Excel_BuiltIn_Print_Area" vbProcedure="false">'BEB Dompierre'!$A$1:$O$82</definedName>
    <definedName function="false" hidden="false" localSheetId="0" name="Excel_BuiltIn__FilterDatabase" vbProcedure="false">'BEB Dompierre'!$A$23:$J$84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<sst xmlns="http://schemas.openxmlformats.org/spreadsheetml/2006/main" count="94" uniqueCount="91">
  <si>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</si>
  <si>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</si>
  <si>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</si>
  <si>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</si>
  <si>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</si>
  <si>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BESBRE</t>
  </si>
  <si>
    <t xml:space="preserve">Dompierre-sur-Besbre / amont pont</t>
  </si>
  <si>
    <t xml:space="preserve">04023000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</si>
  <si>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</si>
  <si>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</si>
  <si>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</si>
  <si>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</si>
  <si>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</si>
  <si>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</si>
  <si>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</si>
  <si>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</si>
  <si>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</si>
  <si>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</si>
  <si>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</si>
  <si>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</si>
  <si>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</si>
  <si>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</si>
  <si>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</si>
  <si>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</si>
  <si>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</si>
  <si>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</si>
  <si>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</si>
  <si>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</si>
  <si>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</si>
  <si>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</si>
  <si>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</si>
  <si>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</si>
  <si>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</si>
  <si>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</si>
  <si>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</si>
  <si>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</si>
  <si>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</si>
  <si>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</si>
  <si>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</si>
  <si>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</si>
  <si>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</si>
  <si>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</si>
  <si>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</si>
  <si>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</si>
  <si>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</si>
  <si>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</si>
  <si>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</si>
  <si>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</si>
  <si>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</si>
  <si>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</si>
  <si>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</si>
  <si>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</si>
  <si>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</si>
  <si>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</si>
  <si>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</si>
  <si>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</si>
  <si>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</si>
  <si>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</si>
  <si>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</si>
  <si>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</si>
  <si>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</si>
  <si>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</si>
  <si>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</si>
  <si>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</si>
  <si>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</si>
  <si>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</si>
  <si>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</si>
  <si>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</si>
  <si>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</si>
  <si>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</si>
  <si>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</si>
  <si>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</si>
  <si>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</si>
  <si>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LYN.SPX</t>
  </si>
  <si>
    <t xml:space="preserve">MEL.SPX</t>
  </si>
  <si>
    <t xml:space="preserve">OED.SPX</t>
  </si>
  <si>
    <t xml:space="preserve">OSC.SPX</t>
  </si>
  <si>
    <t xml:space="preserve">SPI.SPX</t>
  </si>
  <si>
    <t xml:space="preserve">STI.TEN</t>
  </si>
  <si>
    <t xml:space="preserve">VAU.SPX</t>
  </si>
  <si>
    <t xml:space="preserve">AMB.RIP</t>
  </si>
  <si>
    <t xml:space="preserve">FON.ANT</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</si>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</sst>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39295</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7.41666666666667</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7.72727272727273</v>
      </c>
      <c r="O8" s="82" t="n">
        <f aca="false">AVERAGE(J23:J82)</f>
        <v>1.54545454545455</v>
      </c>
      <c r="P8" s="8"/>
      <c r="Q8" s="8"/>
      <c r="R8" s="8"/>
      <c r="S8" s="8"/>
      <c r="T8" s="8"/>
      <c r="U8" s="8"/>
      <c r="V8" s="20"/>
      <c r="W8" s="21"/>
    </row>
    <row r="9" customFormat="false" ht="13.5" hidden="false" customHeight="false" outlineLevel="0" collapsed="false">
      <c r="A9" s="83" t="s">
        <v>25</v>
      </c>
      <c r="B9" s="84" t="n">
        <v>0.2</v>
      </c>
      <c r="C9" s="85" t="n">
        <v>3</v>
      </c>
      <c r="D9" s="86"/>
      <c r="E9" s="86"/>
      <c r="F9" s="87" t="n">
        <f aca="false">($B9*$B$7+$C9*$C$7)/100</f>
        <v>1.32</v>
      </c>
      <c r="G9" s="88"/>
      <c r="H9" s="89"/>
      <c r="I9" s="90"/>
      <c r="J9" s="91"/>
      <c r="K9" s="71"/>
      <c r="L9" s="92"/>
      <c r="M9" s="80" t="s">
        <v>26</v>
      </c>
      <c r="N9" s="81" t="n">
        <f aca="false">STDEV(I23:I82)</f>
        <v>3.49545159002121</v>
      </c>
      <c r="O9" s="82" t="n">
        <f aca="false">STDEV(J23:J82)</f>
        <v>0.687551650952329</v>
      </c>
      <c r="P9" s="8"/>
      <c r="Q9" s="8"/>
      <c r="R9" s="8"/>
      <c r="S9" s="8"/>
      <c r="T9" s="8"/>
      <c r="U9" s="8"/>
      <c r="V9" s="93"/>
      <c r="W9" s="94"/>
    </row>
    <row r="10" customFormat="false" ht="13.5" hidden="false" customHeight="false" outlineLevel="0" collapsed="false">
      <c r="A10" s="95" t="s">
        <v>27</v>
      </c>
      <c r="B10" s="96" t="n">
        <v>0.04</v>
      </c>
      <c r="C10" s="97" t="n">
        <v>0.3</v>
      </c>
      <c r="D10" s="98"/>
      <c r="E10" s="98"/>
      <c r="F10" s="87" t="n">
        <f aca="false">($B10*$B$7+$C10*$C$7)/100</f>
        <v>0.144</v>
      </c>
      <c r="G10" s="88"/>
      <c r="H10" s="99"/>
      <c r="I10" s="100"/>
      <c r="J10" s="101" t="s">
        <v>28</v>
      </c>
      <c r="K10" s="101"/>
      <c r="L10" s="102"/>
      <c r="M10" s="103" t="s">
        <v>29</v>
      </c>
      <c r="N10" s="104" t="n">
        <f aca="false">MIN(I23:I82)</f>
        <v>1</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12</v>
      </c>
      <c r="O11" s="105" t="n">
        <f aca="false">MAX(J23:J82)</f>
        <v>3</v>
      </c>
      <c r="P11" s="8"/>
      <c r="Q11" s="8"/>
      <c r="R11" s="8"/>
      <c r="S11" s="8"/>
      <c r="T11" s="8"/>
      <c r="U11" s="8"/>
    </row>
    <row r="12" customFormat="false" ht="12.75" hidden="false" customHeight="false" outlineLevel="0" collapsed="false">
      <c r="A12" s="115" t="s">
        <v>33</v>
      </c>
      <c r="B12" s="116" t="n">
        <v>0.2</v>
      </c>
      <c r="C12" s="117" t="n">
        <v>3</v>
      </c>
      <c r="D12" s="109"/>
      <c r="E12" s="109"/>
      <c r="F12" s="110" t="n">
        <f aca="false">($B12*$B$7+$C12*$C$7)/100</f>
        <v>1.32</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0.04</v>
      </c>
      <c r="C13" s="117"/>
      <c r="D13" s="109"/>
      <c r="E13" s="109"/>
      <c r="F13" s="110" t="n">
        <f aca="false">($B13*$B$7+$C13*$C$7)/100</f>
        <v>0.024</v>
      </c>
      <c r="G13" s="118"/>
      <c r="H13" s="66"/>
      <c r="I13" s="119" t="s">
        <v>36</v>
      </c>
      <c r="J13" s="119"/>
      <c r="K13" s="113" t="n">
        <f aca="false">COUNTIF($G$23:$G$82,"=BRm")+COUNTIF($G$23:$G$82,"=BRh")</f>
        <v>2</v>
      </c>
      <c r="L13" s="114"/>
      <c r="M13" s="124" t="s">
        <v>37</v>
      </c>
      <c r="N13" s="125" t="n">
        <f aca="false">COUNTIF(F23:F82,"&gt;0")</f>
        <v>11</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11</v>
      </c>
      <c r="O14" s="129"/>
      <c r="P14" s="8"/>
      <c r="Q14" s="8"/>
      <c r="R14" s="8"/>
      <c r="S14" s="8"/>
      <c r="T14" s="8"/>
      <c r="U14" s="8"/>
    </row>
    <row r="15" customFormat="false" ht="12.75" hidden="false" customHeight="false" outlineLevel="0" collapsed="false">
      <c r="A15" s="130" t="s">
        <v>41</v>
      </c>
      <c r="B15" s="131"/>
      <c r="C15" s="132"/>
      <c r="D15" s="109"/>
      <c r="E15" s="109"/>
      <c r="F15" s="110" t="n">
        <f aca="false">($B15*$B$7+$C15*$C$7)/100</f>
        <v>0</v>
      </c>
      <c r="G15" s="118"/>
      <c r="H15" s="66"/>
      <c r="I15" s="119" t="s">
        <v>42</v>
      </c>
      <c r="J15" s="119"/>
      <c r="K15" s="113" t="n">
        <f aca="false">(COUNTIF($G$23:$G$82,"=PHy"))+(COUNTIF($G$23:$G$82,"=PHe"))+(COUNTIF($G$23:$G$82,"=PHg"))+(COUNTIF($G$23:$G$82,"=PHx"))</f>
        <v>0</v>
      </c>
      <c r="L15" s="114"/>
      <c r="M15" s="133" t="s">
        <v>43</v>
      </c>
      <c r="N15" s="134" t="n">
        <f aca="false">COUNTIF(J23:J82,"=1")</f>
        <v>6</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4</v>
      </c>
      <c r="O16" s="135"/>
      <c r="P16" s="8"/>
      <c r="Q16" s="8"/>
      <c r="R16" s="8"/>
      <c r="S16" s="8"/>
      <c r="T16" s="8"/>
      <c r="U16" s="8"/>
    </row>
    <row r="17" customFormat="false" ht="12.75" hidden="false" customHeight="false" outlineLevel="0" collapsed="false">
      <c r="A17" s="115" t="s">
        <v>46</v>
      </c>
      <c r="B17" s="116" t="n">
        <v>0.24</v>
      </c>
      <c r="C17" s="117" t="n">
        <v>3</v>
      </c>
      <c r="D17" s="109"/>
      <c r="E17" s="109"/>
      <c r="F17" s="139"/>
      <c r="G17" s="110" t="n">
        <f aca="false">($B17*$B$7+$C17*$C$7)/100</f>
        <v>1.344</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c r="C18" s="142"/>
      <c r="D18" s="109"/>
      <c r="E18" s="143" t="s">
        <v>49</v>
      </c>
      <c r="F18" s="139"/>
      <c r="G18" s="110" t="n">
        <f aca="false">($B18*$B$7+$C18*$C$7)/100</f>
        <v>0</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1.344</v>
      </c>
      <c r="G19" s="151" t="n">
        <f aca="false">SUM(G16:G18)</f>
        <v>1.344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0.27</v>
      </c>
      <c r="C20" s="160" t="n">
        <f aca="false">SUM(C23:C82)</f>
        <v>3.07</v>
      </c>
      <c r="D20" s="161"/>
      <c r="E20" s="162" t="s">
        <v>49</v>
      </c>
      <c r="F20" s="163" t="n">
        <f aca="false">($B20*$B$7+$C20*$C$7)/100</f>
        <v>1.39</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0.162</v>
      </c>
      <c r="C21" s="172" t="n">
        <f aca="false">C20*C7/100</f>
        <v>1.228</v>
      </c>
      <c r="D21" s="109" t="str">
        <f aca="false">IF(F21=0,"",IF((ABS(F21-F19))&gt;(0.2*F21),CONCATENATE(" rec. par taxa (",F21," %) supérieur à 20 % !"),""))</f>
        <v/>
      </c>
      <c r="E21" s="173" t="str">
        <f aca="false">IF(F21=0,"",IF((ABS(F21-F19))&gt;(0.2*F21),CONCATENATE("ATTENTION : écart entre rec. par grp (",F19," %) ","et",""),""))</f>
        <v/>
      </c>
      <c r="F21" s="174" t="n">
        <f aca="false">B21+C21</f>
        <v>1.39</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0.05</v>
      </c>
      <c r="C23" s="196" t="n">
        <v>0.5</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0.23</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0.23</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72</v>
      </c>
      <c r="B24" s="213" t="n">
        <v>0.02</v>
      </c>
      <c r="C24" s="214"/>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0.012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0.012</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73</v>
      </c>
      <c r="B25" s="213"/>
      <c r="C25" s="214" t="n">
        <v>1.5</v>
      </c>
      <c r="D25" s="215" t="str">
        <f aca="false">IF(ISERROR(VLOOKUP($A25,'[1]liste reference'!$A$7:$D$906,2,0)),IF(ISERROR(VLOOKUP($A25,'[1]liste reference'!$B$7:$D$906,1,0)),"",VLOOKUP($A25,'[1]liste reference'!$B$7:$D$906,1,0)),VLOOKUP($A25,'[1]liste reference'!$A$7:$D$906,2,0))</f>
        <v>Lyngbya sp.</v>
      </c>
      <c r="E25" s="215" t="e">
        <f aca="false">IF(D25="",0,VLOOKUP(D25,D$22:D24,1,0))</f>
        <v>#N/A</v>
      </c>
      <c r="F25" s="216" t="n">
        <f aca="false">($B25*$B$7+$C25*$C$7)/100</f>
        <v>0.6</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Lyngbya sp.</v>
      </c>
      <c r="L25" s="220"/>
      <c r="M25" s="220"/>
      <c r="N25" s="220"/>
      <c r="O25" s="205"/>
      <c r="P25" s="206" t="n">
        <f aca="false">IF(ISTEXT(H25),"",(B25*$B$7/100)+(C25*$C$7/100))</f>
        <v>0.6</v>
      </c>
      <c r="Q25" s="207" t="n">
        <f aca="false">IF(OR(ISTEXT(H25),P25=0),"",IF(P25&lt;0.1,1,IF(P25&lt;1,2,IF(P25&lt;10,3,IF(P25&lt;50,4,IF(P25&gt;=50,5,""))))))</f>
        <v>2</v>
      </c>
      <c r="R25" s="207" t="n">
        <f aca="false">IF(ISERROR(Q25*I25),0,Q25*I25)</f>
        <v>20</v>
      </c>
      <c r="S25" s="207" t="n">
        <f aca="false">IF(ISERROR(Q25*I25*J25),0,Q25*I25*J25)</f>
        <v>40</v>
      </c>
      <c r="T25" s="221" t="n">
        <f aca="false">IF(ISERROR(Q25*J25),0,Q25*J25)</f>
        <v>4</v>
      </c>
      <c r="U25" s="208" t="str">
        <f aca="false">IF(AND(A25="",F25=0),"",IF(F25=0,"Il manque le(s) % de rec. !",""))</f>
        <v/>
      </c>
      <c r="V25" s="209"/>
      <c r="X25" s="207" t="str">
        <f aca="false">IF(A25="new.cod","NEW.COD",IF(AND((Y25=""),ISTEXT(A25)),A25,IF(Y25="","",INDEX('[1]liste reference'!$A$7:$A$906,Y25))))</f>
        <v>LYN.SPX</v>
      </c>
      <c r="Y25" s="8" t="n">
        <f aca="false">IF(ISERROR(MATCH(A25,'[1]liste reference'!$A$7:$A$906,0)),IF(ISERROR(MATCH(A25,'[1]liste reference'!$B$7:$B$906,0)),"",(MATCH(A25,'[1]liste reference'!$B$7:$B$906,0))),(MATCH(A25,'[1]liste reference'!$A$7:$A$906,0)))</f>
        <v>36</v>
      </c>
      <c r="Z25" s="210"/>
      <c r="AA25" s="211"/>
      <c r="BB25" s="8" t="n">
        <f aca="false">IF(A25="","",1)</f>
        <v>1</v>
      </c>
    </row>
    <row r="26" customFormat="false" ht="12.75" hidden="false" customHeight="false" outlineLevel="0" collapsed="false">
      <c r="A26" s="212" t="s">
        <v>74</v>
      </c>
      <c r="B26" s="213" t="n">
        <v>0.02</v>
      </c>
      <c r="C26" s="214" t="n">
        <v>0.3</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0.132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0.132</v>
      </c>
      <c r="Q26" s="207" t="n">
        <f aca="false">IF(OR(ISTEXT(H26),P26=0),"",IF(P26&lt;0.1,1,IF(P26&lt;1,2,IF(P26&lt;10,3,IF(P26&lt;50,4,IF(P26&gt;=50,5,""))))))</f>
        <v>2</v>
      </c>
      <c r="R26" s="207" t="n">
        <f aca="false">IF(ISERROR(Q26*I26),0,Q26*I26)</f>
        <v>20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75</v>
      </c>
      <c r="B27" s="213"/>
      <c r="C27" s="214" t="n">
        <v>0.3</v>
      </c>
      <c r="D27" s="215" t="str">
        <f aca="false">IF(ISERROR(VLOOKUP($A27,'[1]liste reference'!$A$7:$D$906,2,0)),IF(ISERROR(VLOOKUP($A27,'[1]liste reference'!$B$7:$D$906,1,0)),"",VLOOKUP($A27,'[1]liste reference'!$B$7:$D$906,1,0)),VLOOKUP($A27,'[1]liste reference'!$A$7:$D$906,2,0))</f>
        <v>Oedogonium sp.</v>
      </c>
      <c r="E27" s="215" t="e">
        <f aca="false">IF(D27="",0,VLOOKUP(D27,D$22:D26,1,0))</f>
        <v>#N/A</v>
      </c>
      <c r="F27" s="216" t="n">
        <f aca="false">($B27*$B$7+$C27*$C$7)/100</f>
        <v>0.12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0"/>
      <c r="M27" s="220"/>
      <c r="N27" s="220"/>
      <c r="O27" s="205"/>
      <c r="P27" s="206" t="n">
        <f aca="false">IF(ISTEXT(H27),"",(B27*$B$7/100)+(C27*$C$7/100))</f>
        <v>0.12</v>
      </c>
      <c r="Q27" s="207" t="n">
        <f aca="false">IF(OR(ISTEXT(H27),P27=0),"",IF(P27&lt;0.1,1,IF(P27&lt;1,2,IF(P27&lt;10,3,IF(P27&lt;50,4,IF(P27&gt;=50,5,""))))))</f>
        <v>2</v>
      </c>
      <c r="R27" s="207" t="n">
        <f aca="false">IF(ISERROR(Q27*I27),0,Q27*I27)</f>
        <v>12</v>
      </c>
      <c r="S27" s="207" t="n">
        <f aca="false">IF(ISERROR(Q27*I27*J27),0,Q27*I27*J27)</f>
        <v>24</v>
      </c>
      <c r="T27" s="221" t="n">
        <f aca="false">IF(ISERROR(Q27*J27),0,Q27*J27)</f>
        <v>4</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212" t="s">
        <v>76</v>
      </c>
      <c r="B28" s="213" t="n">
        <v>0.04</v>
      </c>
      <c r="C28" s="214"/>
      <c r="D28" s="215" t="str">
        <f aca="false">IF(ISERROR(VLOOKUP($A28,'[1]liste reference'!$A$7:$D$906,2,0)),IF(ISERROR(VLOOKUP($A28,'[1]liste reference'!$B$7:$D$906,1,0)),"",VLOOKUP($A28,'[1]liste reference'!$B$7:$D$906,1,0)),VLOOKUP($A28,'[1]liste reference'!$A$7:$D$906,2,0))</f>
        <v>Oscillatoria sp.</v>
      </c>
      <c r="E28" s="215" t="e">
        <f aca="false">IF(D28="",0,VLOOKUP(D28,D$22:D27,1,0))</f>
        <v>#N/A</v>
      </c>
      <c r="F28" s="216" t="n">
        <f aca="false">($B28*$B$7+$C28*$C$7)/100</f>
        <v>0.024</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Oscillatoria sp.</v>
      </c>
      <c r="L28" s="220"/>
      <c r="M28" s="220"/>
      <c r="N28" s="220"/>
      <c r="O28" s="205"/>
      <c r="P28" s="206" t="n">
        <f aca="false">IF(ISTEXT(H28),"",(B28*$B$7/100)+(C28*$C$7/100))</f>
        <v>0.024</v>
      </c>
      <c r="Q28" s="207" t="n">
        <f aca="false">IF(OR(ISTEXT(H28),P28=0),"",IF(P28&lt;0.1,1,IF(P28&lt;1,2,IF(P28&lt;10,3,IF(P28&lt;50,4,IF(P28&gt;=50,5,""))))))</f>
        <v>1</v>
      </c>
      <c r="R28" s="207" t="n">
        <f aca="false">IF(ISERROR(Q28*I28),0,Q28*I28)</f>
        <v>11</v>
      </c>
      <c r="S28" s="207" t="n">
        <f aca="false">IF(ISERROR(Q28*I28*J28),0,Q28*I28*J28)</f>
        <v>11</v>
      </c>
      <c r="T28" s="221" t="n">
        <f aca="false">IF(ISERROR(Q28*J28),0,Q28*J28)</f>
        <v>1</v>
      </c>
      <c r="U28" s="208" t="str">
        <f aca="false">IF(AND(A28="",F28=0),"",IF(F28=0,"Il manque le(s) % de rec. !",""))</f>
        <v/>
      </c>
      <c r="V28" s="209"/>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c r="AA28" s="211"/>
      <c r="BB28" s="8" t="n">
        <f aca="false">IF(A28="","",1)</f>
        <v>1</v>
      </c>
    </row>
    <row r="29" customFormat="false" ht="12.75" hidden="false" customHeight="false" outlineLevel="0" collapsed="false">
      <c r="A29" s="212" t="s">
        <v>77</v>
      </c>
      <c r="B29" s="213"/>
      <c r="C29" s="214" t="n">
        <v>0.4</v>
      </c>
      <c r="D29" s="215" t="str">
        <f aca="false">IF(ISERROR(VLOOKUP($A29,'[1]liste reference'!$A$7:$D$906,2,0)),IF(ISERROR(VLOOKUP($A29,'[1]liste reference'!$B$7:$D$906,1,0)),"",VLOOKUP($A29,'[1]liste reference'!$B$7:$D$906,1,0)),VLOOKUP($A29,'[1]liste reference'!$A$7:$D$906,2,0))</f>
        <v>Spirogyra sp.</v>
      </c>
      <c r="E29" s="215" t="e">
        <f aca="false">IF(D29="",0,VLOOKUP(D29,D$22:D28,1,0))</f>
        <v>#N/A</v>
      </c>
      <c r="F29" s="216" t="n">
        <f aca="false">($B29*$B$7+$C29*$C$7)/100</f>
        <v>0.16</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Spirogyra sp.</v>
      </c>
      <c r="L29" s="220"/>
      <c r="M29" s="220"/>
      <c r="N29" s="220"/>
      <c r="O29" s="205"/>
      <c r="P29" s="206" t="n">
        <f aca="false">IF(ISTEXT(H29),"",(B29*$B$7/100)+(C29*$C$7/100))</f>
        <v>0.16</v>
      </c>
      <c r="Q29" s="207" t="n">
        <f aca="false">IF(OR(ISTEXT(H29),P29=0),"",IF(P29&lt;0.1,1,IF(P29&lt;1,2,IF(P29&lt;10,3,IF(P29&lt;50,4,IF(P29&gt;=50,5,""))))))</f>
        <v>2</v>
      </c>
      <c r="R29" s="207" t="n">
        <f aca="false">IF(ISERROR(Q29*I29),0,Q29*I29)</f>
        <v>20</v>
      </c>
      <c r="S29" s="207" t="n">
        <f aca="false">IF(ISERROR(Q29*I29*J29),0,Q29*I29*J29)</f>
        <v>20</v>
      </c>
      <c r="T29" s="221" t="n">
        <f aca="false">IF(ISERROR(Q29*J29),0,Q29*J29)</f>
        <v>2</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0"/>
      <c r="AA29" s="211"/>
      <c r="BB29" s="8" t="n">
        <f aca="false">IF(A29="","",1)</f>
        <v>1</v>
      </c>
    </row>
    <row r="30" customFormat="false" ht="12.75" hidden="false" customHeight="false" outlineLevel="0" collapsed="false">
      <c r="A30" s="212" t="s">
        <v>78</v>
      </c>
      <c r="B30" s="213" t="n">
        <v>0.1</v>
      </c>
      <c r="C30" s="214" t="n">
        <v>0.05</v>
      </c>
      <c r="D30" s="215" t="str">
        <f aca="false">IF(ISERROR(VLOOKUP($A30,'[1]liste reference'!$A$7:$D$906,2,0)),IF(ISERROR(VLOOKUP($A30,'[1]liste reference'!$B$7:$D$906,1,0)),"",VLOOKUP($A30,'[1]liste reference'!$B$7:$D$906,1,0)),VLOOKUP($A30,'[1]liste reference'!$A$7:$D$906,2,0))</f>
        <v>Stigeoclonium tenue</v>
      </c>
      <c r="E30" s="215" t="e">
        <f aca="false">IF(D30="",0,VLOOKUP(D30,D$22:D29,1,0))</f>
        <v>#N/A</v>
      </c>
      <c r="F30" s="216" t="n">
        <f aca="false">($B30*$B$7+$C30*$C$7)/100</f>
        <v>0.08</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Stigeoclonium tenue</v>
      </c>
      <c r="L30" s="220"/>
      <c r="M30" s="220"/>
      <c r="N30" s="220"/>
      <c r="O30" s="205"/>
      <c r="P30" s="206" t="n">
        <f aca="false">IF(ISTEXT(H30),"",(B30*$B$7/100)+(C30*$C$7/100))</f>
        <v>0.08</v>
      </c>
      <c r="Q30" s="207" t="n">
        <f aca="false">IF(OR(ISTEXT(H30),P30=0),"",IF(P30&lt;0.1,1,IF(P30&lt;1,2,IF(P30&lt;10,3,IF(P30&lt;50,4,IF(P30&gt;=50,5,""))))))</f>
        <v>1</v>
      </c>
      <c r="R30" s="207" t="n">
        <f aca="false">IF(ISERROR(Q30*I30),0,Q30*I30)</f>
        <v>1</v>
      </c>
      <c r="S30" s="207" t="n">
        <f aca="false">IF(ISERROR(Q30*I30*J30),0,Q30*I30*J30)</f>
        <v>3</v>
      </c>
      <c r="T30" s="221" t="n">
        <f aca="false">IF(ISERROR(Q30*J30),0,Q30*J30)</f>
        <v>3</v>
      </c>
      <c r="U30" s="208" t="str">
        <f aca="false">IF(AND(A30="",F30=0),"",IF(F30=0,"Il manque le(s) % de rec. !",""))</f>
        <v/>
      </c>
      <c r="V30" s="209"/>
      <c r="X30" s="207" t="str">
        <f aca="false">IF(A30="new.cod","NEW.COD",IF(AND((Y30=""),ISTEXT(A30)),A30,IF(Y30="","",INDEX('[1]liste reference'!$A$7:$A$906,Y30))))</f>
        <v>STI.TEN</v>
      </c>
      <c r="Y30" s="8" t="n">
        <f aca="false">IF(ISERROR(MATCH(A30,'[1]liste reference'!$A$7:$A$906,0)),IF(ISERROR(MATCH(A30,'[1]liste reference'!$B$7:$B$906,0)),"",(MATCH(A30,'[1]liste reference'!$B$7:$B$906,0))),(MATCH(A30,'[1]liste reference'!$A$7:$A$906,0)))</f>
        <v>73</v>
      </c>
      <c r="Z30" s="210"/>
      <c r="AA30" s="211"/>
      <c r="BB30" s="8" t="n">
        <f aca="false">IF(A30="","",1)</f>
        <v>1</v>
      </c>
    </row>
    <row r="31" customFormat="false" ht="12.75" hidden="false" customHeight="false" outlineLevel="0" collapsed="false">
      <c r="A31" s="212" t="s">
        <v>79</v>
      </c>
      <c r="B31" s="213"/>
      <c r="C31" s="214" t="n">
        <v>0.02</v>
      </c>
      <c r="D31" s="215" t="str">
        <f aca="false">IF(ISERROR(VLOOKUP($A31,'[1]liste reference'!$A$7:$D$906,2,0)),IF(ISERROR(VLOOKUP($A31,'[1]liste reference'!$B$7:$D$906,1,0)),"",VLOOKUP($A31,'[1]liste reference'!$B$7:$D$906,1,0)),VLOOKUP($A31,'[1]liste reference'!$A$7:$D$906,2,0))</f>
        <v>Vaucheria sp.</v>
      </c>
      <c r="E31" s="215" t="e">
        <f aca="false">IF(D31="",0,VLOOKUP(D31,D$21:D30,1,0))</f>
        <v>#N/A</v>
      </c>
      <c r="F31" s="216" t="n">
        <f aca="false">($B31*$B$7+$C31*$C$7)/100</f>
        <v>0.008</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Vaucheria sp.</v>
      </c>
      <c r="L31" s="220"/>
      <c r="M31" s="220"/>
      <c r="N31" s="220"/>
      <c r="O31" s="205"/>
      <c r="P31" s="206" t="n">
        <f aca="false">IF(ISTEXT(H31),"",(B31*$B$7/100)+(C31*$C$7/100))</f>
        <v>0.008</v>
      </c>
      <c r="Q31" s="207" t="n">
        <f aca="false">IF(OR(ISTEXT(H31),P31=0),"",IF(P31&lt;0.1,1,IF(P31&lt;1,2,IF(P31&lt;10,3,IF(P31&lt;50,4,IF(P31&gt;=50,5,""))))))</f>
        <v>1</v>
      </c>
      <c r="R31" s="207" t="n">
        <f aca="false">IF(ISERROR(Q31*I31),0,Q31*I31)</f>
        <v>4</v>
      </c>
      <c r="S31" s="207" t="n">
        <f aca="false">IF(ISERROR(Q31*I31*J31),0,Q31*I31*J31)</f>
        <v>4</v>
      </c>
      <c r="T31" s="221" t="n">
        <f aca="false">IF(ISERROR(Q31*J31),0,Q31*J31)</f>
        <v>1</v>
      </c>
      <c r="U31" s="208" t="str">
        <f aca="false">IF(AND(A31="",F31=0),"",IF(F31=0,"Il manque le(s) % de rec. !",""))</f>
        <v/>
      </c>
      <c r="V31" s="209"/>
      <c r="W31" s="222"/>
      <c r="X31" s="207" t="str">
        <f aca="false">IF(A31="new.cod","NEW.COD",IF(AND((Y31=""),ISTEXT(A31)),A31,IF(Y31="","",INDEX('[1]liste reference'!$A$7:$A$906,Y31))))</f>
        <v>VAU.SPX</v>
      </c>
      <c r="Y31" s="8" t="n">
        <f aca="false">IF(ISERROR(MATCH(A31,'[1]liste reference'!$A$7:$A$906,0)),IF(ISERROR(MATCH(A31,'[1]liste reference'!$B$7:$B$906,0)),"",(MATCH(A31,'[1]liste reference'!$B$7:$B$906,0))),(MATCH(A31,'[1]liste reference'!$A$7:$A$906,0)))</f>
        <v>83</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80</v>
      </c>
      <c r="B33" s="213" t="n">
        <v>0.02</v>
      </c>
      <c r="C33" s="214"/>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0.012</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3"/>
      <c r="M33" s="223"/>
      <c r="N33" s="223"/>
      <c r="O33" s="224"/>
      <c r="P33" s="206" t="n">
        <f aca="false">IF(ISTEXT(H33),"",(B33*$B$7/100)+(C33*$C$7/100))</f>
        <v>0.012</v>
      </c>
      <c r="Q33" s="207" t="n">
        <f aca="false">IF(OR(ISTEXT(H33),P33=0),"",IF(P33&lt;0.1,1,IF(P33&lt;1,2,IF(P33&lt;10,3,IF(P33&lt;50,4,IF(P33&gt;=50,5,""))))))</f>
        <v>1</v>
      </c>
      <c r="R33" s="207" t="n">
        <f aca="false">IF(ISERROR(Q33*I33),0,Q33*I33)</f>
        <v>5</v>
      </c>
      <c r="S33" s="207" t="n">
        <f aca="false">IF(ISERROR(Q33*I33*J33),0,Q33*I33*J33)</f>
        <v>10</v>
      </c>
      <c r="T33" s="221" t="n">
        <f aca="false">IF(ISERROR(Q33*J33),0,Q33*J33)</f>
        <v>2</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81</v>
      </c>
      <c r="B34" s="213" t="n">
        <v>0.02</v>
      </c>
      <c r="C34" s="214"/>
      <c r="D34" s="215" t="str">
        <f aca="false">IF(ISERROR(VLOOKUP($A34,'[1]liste reference'!$A$7:$D$906,2,0)),IF(ISERROR(VLOOKUP($A34,'[1]liste reference'!$B$7:$D$906,1,0)),"",VLOOKUP($A34,'[1]liste reference'!$B$7:$D$906,1,0)),VLOOKUP($A34,'[1]liste reference'!$A$7:$D$906,2,0))</f>
        <v>Fontinalis antipyretica</v>
      </c>
      <c r="E34" s="215" t="e">
        <f aca="false">IF(D34="",0,VLOOKUP(D34,D$22:D33,1,0))</f>
        <v>#N/A</v>
      </c>
      <c r="F34" s="225" t="n">
        <f aca="false">($B34*$B$7+$C34*$C$7)/100</f>
        <v>0.012</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23"/>
      <c r="M34" s="223"/>
      <c r="N34" s="223"/>
      <c r="O34" s="224"/>
      <c r="P34" s="206" t="n">
        <f aca="false">IF(ISTEXT(H34),"",(B34*$B$7/100)+(C34*$C$7/100))</f>
        <v>0.012</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82</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BESBRE</v>
      </c>
      <c r="B84" s="245" t="str">
        <f aca="false">C3</f>
        <v>Dompierre-sur-Besbre / amont pont</v>
      </c>
      <c r="C84" s="246" t="n">
        <f aca="false">A4</f>
        <v>39295</v>
      </c>
      <c r="D84" s="247" t="n">
        <f aca="false">IF(ISERROR(SUM($S$23:$S$82)/SUM($T$23:$T$82)),"",SUM($S$23:$S$82)/SUM($T$23:$T$82))</f>
        <v>7.41666666666667</v>
      </c>
      <c r="E84" s="248" t="n">
        <f aca="false">N13</f>
        <v>11</v>
      </c>
      <c r="F84" s="245" t="n">
        <f aca="false">N14</f>
        <v>11</v>
      </c>
      <c r="G84" s="245" t="n">
        <f aca="false">N15</f>
        <v>6</v>
      </c>
      <c r="H84" s="245" t="n">
        <f aca="false">N16</f>
        <v>4</v>
      </c>
      <c r="I84" s="245" t="n">
        <f aca="false">N17</f>
        <v>1</v>
      </c>
      <c r="J84" s="249" t="n">
        <f aca="false">N8</f>
        <v>7.72727272727273</v>
      </c>
      <c r="K84" s="247" t="n">
        <f aca="false">N9</f>
        <v>3.49545159002121</v>
      </c>
      <c r="L84" s="248" t="n">
        <f aca="false">N10</f>
        <v>1</v>
      </c>
      <c r="M84" s="248" t="n">
        <f aca="false">N11</f>
        <v>12</v>
      </c>
      <c r="N84" s="247" t="n">
        <f aca="false">O8</f>
        <v>1.54545454545455</v>
      </c>
      <c r="O84" s="247" t="n">
        <f aca="false">O9</f>
        <v>0.687551650952329</v>
      </c>
      <c r="P84" s="248" t="n">
        <f aca="false">O10</f>
        <v>1</v>
      </c>
      <c r="Q84" s="248" t="n">
        <f aca="false">O11</f>
        <v>3</v>
      </c>
      <c r="R84" s="250" t="n">
        <f aca="false">F21</f>
        <v>1.39</v>
      </c>
      <c r="S84" s="248" t="n">
        <f aca="false">K11</f>
        <v>0</v>
      </c>
      <c r="T84" s="248" t="n">
        <f aca="false">K12</f>
        <v>9</v>
      </c>
      <c r="U84" s="248" t="n">
        <f aca="false">K13</f>
        <v>2</v>
      </c>
      <c r="V84" s="251" t="n">
        <f aca="false">K14</f>
        <v>0</v>
      </c>
      <c r="W84" s="252" t="n">
        <f aca="false">K15</f>
        <v>0</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83</v>
      </c>
      <c r="Q86" s="8"/>
      <c r="R86" s="208"/>
      <c r="S86" s="8"/>
      <c r="T86" s="8"/>
      <c r="U86" s="8"/>
    </row>
    <row r="87" customFormat="false" ht="12.75" hidden="true" customHeight="false" outlineLevel="0" collapsed="false">
      <c r="P87" s="8" t="s">
        <v>84</v>
      </c>
      <c r="Q87" s="8"/>
      <c r="R87" s="208" t="n">
        <f aca="false">VLOOKUP(MAX($R$23:$R$82),($R$23:$T$82),1,0)</f>
        <v>20</v>
      </c>
      <c r="S87" s="8"/>
      <c r="T87" s="8"/>
      <c r="U87" s="8"/>
    </row>
    <row r="88" customFormat="false" ht="12.75" hidden="true" customHeight="false" outlineLevel="0" collapsed="false">
      <c r="P88" s="8" t="s">
        <v>85</v>
      </c>
      <c r="Q88" s="8"/>
      <c r="R88" s="208" t="n">
        <f aca="false">VLOOKUP((R87),($R$23:$T$82),2,0)</f>
        <v>40</v>
      </c>
      <c r="S88" s="8"/>
      <c r="T88" s="8"/>
      <c r="U88" s="8"/>
    </row>
    <row r="89" customFormat="false" ht="12.75" hidden="true" customHeight="false" outlineLevel="0" collapsed="false">
      <c r="P89" s="8" t="s">
        <v>86</v>
      </c>
      <c r="Q89" s="8"/>
      <c r="R89" s="208" t="n">
        <f aca="false">VLOOKUP((R87),($R$23:$T$82),3,0)</f>
        <v>4</v>
      </c>
      <c r="S89" s="8"/>
    </row>
    <row r="90" customFormat="false" ht="12.75" hidden="true" customHeight="false" outlineLevel="0" collapsed="false">
      <c r="P90" s="8" t="s">
        <v>87</v>
      </c>
      <c r="Q90" s="8"/>
      <c r="R90" s="254" t="n">
        <f aca="false">IF(ISERROR(SUM($S$23:$S$82)/SUM($T$23:$T$82)),"",(SUM($S$23:$S$82)-R88)/(SUM($T$23:$T$82)-R89))</f>
        <v>6.9</v>
      </c>
      <c r="S90" s="8"/>
    </row>
    <row r="91" customFormat="false" ht="12.75" hidden="true" customHeight="false" outlineLevel="0" collapsed="false">
      <c r="P91" s="207" t="s">
        <v>88</v>
      </c>
      <c r="Q91" s="207"/>
      <c r="R91" s="207" t="str">
        <f aca="false">INDEX('[1]liste reference'!$A$7:$A$906,$S$91)</f>
        <v>LYN.SPX</v>
      </c>
      <c r="S91" s="8" t="n">
        <f aca="false">IF(ISERROR(MATCH($R$93,'[1]liste reference'!$A$7:$A$906,0)),MATCH($R$93,'[1]liste reference'!$B$7:$B$906,0),(MATCH($R$93,'[1]liste reference'!$A$7:$A$906,0)))</f>
        <v>36</v>
      </c>
      <c r="T91" s="243"/>
    </row>
    <row r="92" customFormat="false" ht="12.75" hidden="true" customHeight="false" outlineLevel="0" collapsed="false">
      <c r="P92" s="8" t="s">
        <v>89</v>
      </c>
      <c r="Q92" s="8"/>
      <c r="R92" s="8" t="n">
        <f aca="false">MATCH(R87,$R$23:$R$82,0)</f>
        <v>3</v>
      </c>
      <c r="S92" s="8"/>
    </row>
    <row r="93" customFormat="false" ht="12.75" hidden="true" customHeight="false" outlineLevel="0" collapsed="false">
      <c r="P93" s="207" t="s">
        <v>90</v>
      </c>
      <c r="Q93" s="8"/>
      <c r="R93" s="207" t="str">
        <f aca="false">INDEX($A$23:$A$82,$R$92)</f>
        <v>LYN.SPX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