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6420" sheetId="1" state="visible" r:id="rId3"/>
  </sheets>
  <definedNames>
    <definedName function="false" hidden="false" localSheetId="0" name="_xlnm.Print_Area" vbProcedure="false">'04026420'!$A$1:$O$82</definedName>
    <definedName function="false" hidden="false" localSheetId="0" name="Cf." vbProcedure="false"/>
    <definedName function="false" hidden="false" localSheetId="0" name="NOM" vbProcedure="false">'04026420'!$H$1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<sst xmlns="http://schemas.openxmlformats.org/spreadsheetml/2006/main" count="111" uniqueCount="106">
  <si>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</si>
  <si>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</si>
  <si>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</si>
  <si>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Julien ROBINET</t>
  </si>
  <si>
    <t xml:space="preserve">conforme AFNOR T90-395 oct. 2003</t>
  </si>
  <si>
    <t xml:space="preserve">le Liauron</t>
  </si>
  <si>
    <t xml:space="preserve">RAU DE LIAURON à CELLIER-DU-LUC</t>
  </si>
  <si>
    <t xml:space="preserve">04026420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</si>
  <si>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</si>
  <si>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</si>
  <si>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</si>
  <si>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</si>
  <si>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</si>
  <si>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</si>
  <si>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</si>
  <si>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</si>
  <si>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</si>
  <si>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</si>
  <si>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</si>
  <si>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</si>
  <si>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</si>
  <si>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(très 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</si>
  <si>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</si>
  <si>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</si>
  <si>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</si>
  <si>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</si>
  <si>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</si>
  <si>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</si>
  <si>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</si>
  <si>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</si>
  <si>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</si>
  <si>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</si>
  <si>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</si>
  <si>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</si>
  <si>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</si>
  <si>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</si>
  <si>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</si>
  <si>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</si>
  <si>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</si>
  <si>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</si>
  <si>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</si>
  <si>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</si>
  <si>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</si>
  <si>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</si>
  <si>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</si>
  <si>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</si>
  <si>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</si>
  <si>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</si>
  <si>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</si>
  <si>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</si>
  <si>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</si>
  <si>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</si>
  <si>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</si>
  <si>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</si>
  <si>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</si>
  <si>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</si>
  <si>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</si>
  <si>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</si>
  <si>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(6,62526446443051 %)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</si>
  <si>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</si>
  <si>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</si>
  <si>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</si>
  <si>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</si>
  <si>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</si>
  <si>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</si>
  <si>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</si>
  <si>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</si>
  <si>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</si>
  <si>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</si>
  <si>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</si>
  <si>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</si>
  <si>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</si>
  <si>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</si>
  <si>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</si>
  <si>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</si>
  <si>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</si>
  <si>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</si>
  <si>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</si>
  <si>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VERANA</t>
  </si>
  <si>
    <t xml:space="preserve">newcod</t>
  </si>
  <si>
    <t xml:space="preserve">Juncus pygmaeus</t>
  </si>
  <si>
    <t xml:space="preserve">RANREP</t>
  </si>
  <si>
    <t xml:space="preserve">DRASPX</t>
  </si>
  <si>
    <t xml:space="preserve">GLYFLU</t>
  </si>
  <si>
    <t xml:space="preserve">FISCRA</t>
  </si>
  <si>
    <t xml:space="preserve">AGRSTO</t>
  </si>
  <si>
    <t xml:space="preserve">Cf.</t>
  </si>
  <si>
    <t xml:space="preserve">LOTPED</t>
  </si>
  <si>
    <t xml:space="preserve">SCAUND</t>
  </si>
  <si>
    <t xml:space="preserve">PHOSPX</t>
  </si>
  <si>
    <t xml:space="preserve">LEASPX</t>
  </si>
  <si>
    <t xml:space="preserve">CHIPOL</t>
  </si>
  <si>
    <t xml:space="preserve">FONSQU</t>
  </si>
  <si>
    <t xml:space="preserve">TRISPX</t>
  </si>
  <si>
    <t xml:space="preserve">EURSPX</t>
  </si>
  <si>
    <t xml:space="preserve">Fragilaria sp.</t>
  </si>
  <si>
    <t xml:space="preserve">SPISPX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</si>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</sst>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41137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13.8684210526316</v>
      </c>
      <c r="M5" s="52"/>
      <c r="N5" s="53"/>
      <c r="O5" s="54" t="n">
        <v>14.40625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48</v>
      </c>
      <c r="C7" s="66" t="n">
        <v>52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4</v>
      </c>
      <c r="C9" s="85" t="n">
        <v>10</v>
      </c>
      <c r="D9" s="86"/>
      <c r="E9" s="86"/>
      <c r="F9" s="87" t="n">
        <f aca="false">($B9*$B$7+$C9*$C$7)/100</f>
        <v>7.12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17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5.19588247127831</v>
      </c>
      <c r="C20" s="164" t="n">
        <f aca="false">SUM(C23:C82)</f>
        <v>7.944693996571</v>
      </c>
      <c r="D20" s="165"/>
      <c r="E20" s="166" t="s">
        <v>52</v>
      </c>
      <c r="F20" s="167" t="n">
        <f aca="false">($B20*$B$7+$C20*$C$7)/100</f>
        <v>6.62526446443051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2.49402358621359</v>
      </c>
      <c r="C21" s="177" t="n">
        <f aca="false">C20*C7/100</f>
        <v>4.13124087821692</v>
      </c>
      <c r="D21" s="109" t="str">
        <f aca="false">IF(F21=0,"",IF((ABS(F21-F19))&gt;(0.2*F21),CONCATENATE(" rec. par taxa (",F21," %) supérieur à 20 % !"),""))</f>
        <v> rec. par taxa (6,62526446443051 %)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6.62526446443051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0.00519999988377094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2</v>
      </c>
      <c r="W23" s="217"/>
      <c r="X23" s="217"/>
      <c r="Y23" s="215" t="str">
        <f aca="false">IF(A23="new.cod","NEWCOD",IF(AND((Z23=""),ISTEXT(A23)),A23,IF(Z23="","",INDEX(,Z23))))</f>
        <v>VERANA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0.00519999988377094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>No</v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newcod</v>
      </c>
      <c r="Z24" s="9" t="str">
        <f aca="false">IF(ISERROR(MATCH(A24,,0)),IF(ISERROR(MATCH(A24,,0)),"",(MATCH(A24,,0))),(MATCH(A24,,0)))</f>
        <v/>
      </c>
      <c r="AA24" s="218"/>
      <c r="AB24" s="220" t="s">
        <v>80</v>
      </c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0.00519999988377094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RANREP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0.00519999988377094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3</v>
      </c>
      <c r="W26" s="217"/>
      <c r="Y26" s="215" t="str">
        <f aca="false">IF(A26="new.cod","NEWCOD",IF(AND((Z26=""),ISTEXT(A26)),A26,IF(Z26="","",INDEX(,Z26))))</f>
        <v>DRASPX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0.00999999977648258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2</v>
      </c>
      <c r="W27" s="217"/>
      <c r="Y27" s="215" t="str">
        <f aca="false">IF(A27="new.cod","NEWCOD",IF(AND((Z27=""),ISTEXT(A27)),A27,IF(Z27="","",INDEX(,Z27))))</f>
        <v>GLYFLU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0.00479999989271164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2</v>
      </c>
      <c r="W28" s="217"/>
      <c r="Y28" s="215" t="str">
        <f aca="false">IF(A28="new.cod","NEWCOD",IF(AND((Z28=""),ISTEXT(A28)),A28,IF(Z28="","",INDEX(,Z28))))</f>
        <v>FISCRA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0.00999999977648258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0.00999999977648258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 t="s">
        <v>86</v>
      </c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1</v>
      </c>
      <c r="W29" s="217"/>
      <c r="Y29" s="215" t="str">
        <f aca="false">IF(A29="new.cod","NEWCOD",IF(AND((Z29=""),ISTEXT(A29)),A29,IF(Z29="","",INDEX(,Z29))))</f>
        <v>AGRSTO</v>
      </c>
      <c r="Z29" s="9" t="str">
        <f aca="false">IF(ISERROR(MATCH(A29,,0)),IF(ISERROR(MATCH(A29,,0)),"",(MATCH(A29,,0))),(MATCH(A29,,0)))</f>
        <v/>
      </c>
      <c r="AA29" s="218" t="s">
        <v>86</v>
      </c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0.00999999977648258</v>
      </c>
      <c r="C30" s="222" t="n">
        <v>0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0.00479999989271164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0</v>
      </c>
      <c r="W30" s="217"/>
      <c r="Y30" s="215" t="str">
        <f aca="false">IF(A30="new.cod","NEWCOD",IF(AND((Z30=""),ISTEXT(A30)),A30,IF(Z30="","",INDEX(,Z30))))</f>
        <v>LOTPED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0.00999999977648258</v>
      </c>
      <c r="C31" s="222" t="n">
        <v>0.00999999977648258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0.00999999977648258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3</v>
      </c>
      <c r="W31" s="217"/>
      <c r="Y31" s="215" t="str">
        <f aca="false">IF(A31="new.cod","NEWCOD",IF(AND((Z31=""),ISTEXT(A31)),A31,IF(Z31="","",INDEX(,Z31))))</f>
        <v>SCAUND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0.151176497340202</v>
      </c>
      <c r="C32" s="222" t="n">
        <v>0.00999999977648258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0.0777647186070681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2</v>
      </c>
      <c r="W32" s="217"/>
      <c r="Y32" s="215" t="str">
        <f aca="false">IF(A32="new.cod","NEWCOD",IF(AND((Z32=""),ISTEXT(A32)),A32,IF(Z32="","",INDEX(,Z32))))</f>
        <v>PHOSPX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0.317647099494934</v>
      </c>
      <c r="C33" s="222" t="n">
        <v>0.00999999977648258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0.157670607641339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4</v>
      </c>
      <c r="W33" s="217"/>
      <c r="Y33" s="215" t="str">
        <f aca="false">IF(A33="new.cod","NEWCOD",IF(AND((Z33=""),ISTEXT(A33)),A33,IF(Z33="","",INDEX(,Z33))))</f>
        <v>LEASPX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0.339411795139313</v>
      </c>
      <c r="C34" s="222" t="n">
        <v>0.0118367346003652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0.16907276365906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4</v>
      </c>
      <c r="W34" s="217"/>
      <c r="Y34" s="215" t="str">
        <f aca="false">IF(A34="new.cod","NEWCOD",IF(AND((Z34=""),ISTEXT(A34)),A34,IF(Z34="","",INDEX(,Z34))))</f>
        <v>CHIPOL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0.564705908298492</v>
      </c>
      <c r="C35" s="222" t="n">
        <v>0.100000001490116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0.323058836758137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6</v>
      </c>
      <c r="W35" s="217"/>
      <c r="Y35" s="215" t="str">
        <f aca="false">IF(A35="new.cod","NEWCOD",IF(AND((Z35=""),ISTEXT(A35)),A35,IF(Z35="","",INDEX(,Z35))))</f>
        <v>FONSQU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93</v>
      </c>
      <c r="B36" s="221" t="n">
        <v>0.75352942943573</v>
      </c>
      <c r="C36" s="222" t="n">
        <v>1.92324268817902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1.36178032398224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6</v>
      </c>
      <c r="W36" s="217"/>
      <c r="Y36" s="215" t="str">
        <f aca="false">IF(A36="new.cod","NEWCOD",IF(AND((Z36=""),ISTEXT(A36)),A36,IF(Z36="","",INDEX(,Z36))))</f>
        <v>TRISPX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0.757058799266815</v>
      </c>
      <c r="C37" s="222" t="n">
        <v>0.0448979586362839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0.386735162138939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>EURSPX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 t="s">
        <v>79</v>
      </c>
      <c r="B38" s="221" t="n">
        <v>1.00529396533966</v>
      </c>
      <c r="C38" s="222" t="n">
        <v>2.5659863948822</v>
      </c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1.81685402870178</v>
      </c>
      <c r="G38" s="226" t="str">
        <f aca="false">IF(A38="","",IF(ISERROR(VLOOKUP($A38,,13,0)),IF(ISERROR(VLOOKUP($A38,,12,0)),"    -",VLOOKUP($A38,,12,0)),VLOOKUP($A38,,13,0)))</f>
        <v>    -</v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>No</v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>newcod</v>
      </c>
      <c r="Z38" s="9" t="str">
        <f aca="false">IF(ISERROR(MATCH(A38,,0)),IF(ISERROR(MATCH(A38,,0)),"",(MATCH(A38,,0))),(MATCH(A38,,0)))</f>
        <v/>
      </c>
      <c r="AA38" s="218"/>
      <c r="AB38" s="220" t="s">
        <v>95</v>
      </c>
      <c r="AC38" s="219"/>
      <c r="BC38" s="9" t="n">
        <f aca="false">IF(A38="","",1)</f>
        <v>1</v>
      </c>
    </row>
    <row r="39" customFormat="false" ht="12.75" hidden="false" customHeight="false" outlineLevel="0" collapsed="false">
      <c r="A39" s="220" t="s">
        <v>96</v>
      </c>
      <c r="B39" s="221" t="n">
        <v>1.25705897808075</v>
      </c>
      <c r="C39" s="222" t="n">
        <v>3.20873022079468</v>
      </c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2.27192802429199</v>
      </c>
      <c r="G39" s="226" t="str">
        <f aca="false">IF(A39="","",IF(ISERROR(VLOOKUP($A39,,13,0)),IF(ISERROR(VLOOKUP($A39,,12,0)),"    -",VLOOKUP($A39,,12,0)),VLOOKUP($A39,,13,0)))</f>
        <v>    -</v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3</v>
      </c>
      <c r="W39" s="217"/>
      <c r="Y39" s="215" t="str">
        <f aca="false">IF(A39="new.cod","NEWCOD",IF(AND((Z39=""),ISTEXT(A39)),A39,IF(Z39="","",INDEX(,Z39))))</f>
        <v>SPISPX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n">
        <f aca="false">IF(A39="","",1)</f>
        <v>1</v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97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le Liauron</v>
      </c>
      <c r="B84" s="253" t="str">
        <f aca="false">C3</f>
        <v>RAU DE LIAURON à CELLIER-DU-LUC</v>
      </c>
      <c r="C84" s="254" t="n">
        <f aca="false">A4</f>
        <v>41137</v>
      </c>
      <c r="D84" s="255" t="str">
        <f aca="false">IF(ISERROR(SUM($T$23:$T$82)/SUM($U$23:$U$82)),"",SUM($T$23:$T$82)/SUM($U$23:$U$82))</f>
        <v/>
      </c>
      <c r="E84" s="256" t="n">
        <f aca="false">N13</f>
        <v>17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6.62526446443051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98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99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100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101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102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103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104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105</v>
      </c>
      <c r="R93" s="9"/>
      <c r="S93" s="215" t="str">
        <f aca="false">INDEX($A$23:$A$82,$S$92)</f>
        <v>VERANA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4">
    <cfRule type="expression" priority="28" aboveAverage="0" equalAverage="0" bottom="0" percent="0" rank="0" text="" dxfId="26">
      <formula>ISTEXT($E24)</formula>
    </cfRule>
  </conditionalFormatting>
  <conditionalFormatting sqref="AB38">
    <cfRule type="expression" priority="29" aboveAverage="0" equalAverage="0" bottom="0" percent="0" rank="0" text="" dxfId="27">
      <formula>ISTEXT($E38)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2024-03-14T21:52:01Z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