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30000_Allier-Orbeil" sheetId="1" state="visible" r:id="rId3"/>
  </sheets>
  <externalReferences>
    <externalReference r:id="rId4"/>
  </externalReferences>
  <definedNames>
    <definedName function="false" hidden="false" localSheetId="0" name="_xlnm.Print_Area" vbProcedure="false">'04030000_Allier-Orbeil'!$A$1:$O$82</definedName>
    <definedName function="false" hidden="false" localSheetId="0" name="Excel_BuiltIn__FilterDatabase" vbProcedure="false">'04030000_Allier-Orbeil'!$A$23:$J$84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<sst xmlns="http://schemas.openxmlformats.org/spreadsheetml/2006/main" count="113" uniqueCount="107">
  <si>
    <t xml:space="preserve">Relevés floristiques aquatiques - IBMR</t>
  </si>
  <si>
    <t xml:space="preserve">GIS Macrophytes - juillet 2006</t>
  </si>
  <si>
    <t xml:space="preserve">SCE</t>
  </si>
  <si>
    <t xml:space="preserve">Stéphane DULAU</t>
  </si>
  <si>
    <t xml:space="preserve">conforme AFNOR T90-395 oct. 2003</t>
  </si>
  <si>
    <t xml:space="preserve">ALLIER</t>
  </si>
  <si>
    <t xml:space="preserve">Orbeil</t>
  </si>
  <si>
    <t xml:space="preserve">04030000</t>
  </si>
  <si>
    <t xml:space="preserve">RCS - Auvergne</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</si>
  <si>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</si>
  <si>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</si>
  <si>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</si>
  <si>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</si>
  <si>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</si>
  <si>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</si>
  <si>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</si>
  <si>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</si>
  <si>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</si>
  <si>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</si>
  <si>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</si>
  <si>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</si>
  <si>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</si>
  <si>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</si>
  <si>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</si>
  <si>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</si>
  <si>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</si>
  <si>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</si>
  <si>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</si>
  <si>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</si>
  <si>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</si>
  <si>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</si>
  <si>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</si>
  <si>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</si>
  <si>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</si>
  <si>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</si>
  <si>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</si>
  <si>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</si>
  <si>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</si>
  <si>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</si>
  <si>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</si>
  <si>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</si>
  <si>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</si>
  <si>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</si>
  <si>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</si>
  <si>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</si>
  <si>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</si>
  <si>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</si>
  <si>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</si>
  <si>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</si>
  <si>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</si>
  <si>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</si>
  <si>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</si>
  <si>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</si>
  <si>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</si>
  <si>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</si>
  <si>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</si>
  <si>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</si>
  <si>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</si>
  <si>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</si>
  <si>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</si>
  <si>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</si>
  <si>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</si>
  <si>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</si>
  <si>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</si>
  <si>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</si>
  <si>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</si>
  <si>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</si>
  <si>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</si>
  <si>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</si>
  <si>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</si>
  <si>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</si>
  <si>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</si>
  <si>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</si>
  <si>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</si>
  <si>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</si>
  <si>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</si>
  <si>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</si>
  <si>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</si>
  <si>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HIL.SPX</t>
  </si>
  <si>
    <t xml:space="preserve">LEA.SPX</t>
  </si>
  <si>
    <t xml:space="preserve">OED.SPX</t>
  </si>
  <si>
    <t xml:space="preserve">OSC.SPX</t>
  </si>
  <si>
    <t xml:space="preserve">PHO.SPX</t>
  </si>
  <si>
    <t xml:space="preserve">SPI.SPX</t>
  </si>
  <si>
    <t xml:space="preserve">OCT.FON</t>
  </si>
  <si>
    <t xml:space="preserve">EQU.ARV</t>
  </si>
  <si>
    <t xml:space="preserve">MYR.SPI</t>
  </si>
  <si>
    <t xml:space="preserve">CAR.ACU</t>
  </si>
  <si>
    <t xml:space="preserve">LYS.VUL</t>
  </si>
  <si>
    <t xml:space="preserve">LYT.SAL</t>
  </si>
  <si>
    <t xml:space="preserve">PHA.ARU</t>
  </si>
  <si>
    <t xml:space="preserve">ROR.AMP</t>
  </si>
  <si>
    <t xml:space="preserve">BID.TRI</t>
  </si>
  <si>
    <t xml:space="preserve">LEE.ORY</t>
  </si>
  <si>
    <t xml:space="preserve">NEWCOD</t>
  </si>
  <si>
    <t xml:space="preserve">Echinocloa crus-galli     </t>
  </si>
  <si>
    <t xml:space="preserve">NOSTOC/CYLINDROSPERMUM</t>
  </si>
  <si>
    <t xml:space="preserve">RANUNCULUS PENICILLATUS:FLUITANS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</si>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</sst>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9.875</v>
      </c>
      <c r="M5" s="51"/>
      <c r="N5" s="52" t="s">
        <v>15</v>
      </c>
      <c r="O5" s="53" t="n">
        <v>9.86363636363636</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90</v>
      </c>
      <c r="C7" s="65" t="n">
        <v>10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10.1538461538462</v>
      </c>
      <c r="O8" s="82" t="n">
        <f aca="false">AVERAGE(J23:J82)</f>
        <v>1.61538461538462</v>
      </c>
      <c r="P8" s="8"/>
      <c r="Q8" s="8"/>
      <c r="R8" s="8"/>
      <c r="S8" s="8"/>
      <c r="T8" s="8"/>
      <c r="U8" s="8"/>
      <c r="V8" s="20"/>
      <c r="W8" s="21"/>
    </row>
    <row r="9" customFormat="false" ht="12.75" hidden="false" customHeight="false" outlineLevel="0" collapsed="false">
      <c r="A9" s="83" t="s">
        <v>28</v>
      </c>
      <c r="B9" s="84" t="n">
        <v>3</v>
      </c>
      <c r="C9" s="85" t="n">
        <v>10</v>
      </c>
      <c r="D9" s="86"/>
      <c r="E9" s="86"/>
      <c r="F9" s="87" t="n">
        <f aca="false">($B9*$B$7+$C9*$C$7)/100</f>
        <v>3.7</v>
      </c>
      <c r="G9" s="88"/>
      <c r="H9" s="89"/>
      <c r="I9" s="90"/>
      <c r="J9" s="91"/>
      <c r="K9" s="71"/>
      <c r="L9" s="92"/>
      <c r="M9" s="80" t="s">
        <v>29</v>
      </c>
      <c r="N9" s="81" t="n">
        <f aca="false">STDEV(I23:I82)</f>
        <v>3.02341291275698</v>
      </c>
      <c r="O9" s="82" t="n">
        <f aca="false">STDEV(J23:J82)</f>
        <v>0.650443635587991</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2</v>
      </c>
      <c r="C12" s="117" t="n">
        <v>7.5</v>
      </c>
      <c r="D12" s="109"/>
      <c r="E12" s="109"/>
      <c r="F12" s="110" t="n">
        <f aca="false">($B12*$B$7+$C12*$C$7)/100</f>
        <v>2.55</v>
      </c>
      <c r="G12" s="118"/>
      <c r="H12" s="66"/>
      <c r="I12" s="119" t="s">
        <v>37</v>
      </c>
      <c r="J12" s="119"/>
      <c r="K12" s="113" t="n">
        <f aca="false">COUNTIF($G$23:$G$82,"=ALG")</f>
        <v>9</v>
      </c>
      <c r="L12" s="120"/>
      <c r="M12" s="121"/>
      <c r="N12" s="122" t="s">
        <v>31</v>
      </c>
      <c r="O12" s="123"/>
      <c r="P12" s="8"/>
      <c r="Q12" s="8"/>
      <c r="R12" s="8"/>
      <c r="S12" s="8"/>
      <c r="T12" s="8"/>
      <c r="U12" s="8"/>
    </row>
    <row r="13" customFormat="false" ht="12.75" hidden="false" customHeight="false" outlineLevel="0" collapsed="false">
      <c r="A13" s="115" t="s">
        <v>38</v>
      </c>
      <c r="B13" s="116"/>
      <c r="C13" s="117" t="n">
        <v>0.05</v>
      </c>
      <c r="D13" s="109"/>
      <c r="E13" s="109"/>
      <c r="F13" s="110" t="n">
        <f aca="false">($B13*$B$7+$C13*$C$7)/100</f>
        <v>0.005</v>
      </c>
      <c r="G13" s="118"/>
      <c r="H13" s="66"/>
      <c r="I13" s="119" t="s">
        <v>39</v>
      </c>
      <c r="J13" s="119"/>
      <c r="K13" s="113" t="n">
        <f aca="false">COUNTIF($G$23:$G$82,"=BRm")+COUNTIF($G$23:$G$82,"=BRh")</f>
        <v>1</v>
      </c>
      <c r="L13" s="114"/>
      <c r="M13" s="124" t="s">
        <v>40</v>
      </c>
      <c r="N13" s="125" t="n">
        <f aca="false">COUNTIF(F23:F82,"&gt;0")</f>
        <v>22</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1</v>
      </c>
      <c r="L14" s="114"/>
      <c r="M14" s="127" t="s">
        <v>43</v>
      </c>
      <c r="N14" s="128" t="n">
        <f aca="false">COUNTIF($I$23:$I$82,"&gt;-1")</f>
        <v>13</v>
      </c>
      <c r="O14" s="129"/>
      <c r="P14" s="8"/>
      <c r="Q14" s="8"/>
      <c r="R14" s="8"/>
      <c r="S14" s="8"/>
      <c r="T14" s="8"/>
      <c r="U14" s="8"/>
    </row>
    <row r="15" customFormat="false" ht="12.75" hidden="false" customHeight="false" outlineLevel="0" collapsed="false">
      <c r="A15" s="130" t="s">
        <v>44</v>
      </c>
      <c r="B15" s="131" t="n">
        <v>1</v>
      </c>
      <c r="C15" s="132" t="n">
        <v>0.5</v>
      </c>
      <c r="D15" s="109"/>
      <c r="E15" s="109"/>
      <c r="F15" s="110" t="n">
        <f aca="false">($B15*$B$7+$C15*$C$7)/100</f>
        <v>0.95</v>
      </c>
      <c r="G15" s="118"/>
      <c r="H15" s="66"/>
      <c r="I15" s="119" t="s">
        <v>45</v>
      </c>
      <c r="J15" s="119"/>
      <c r="K15" s="113" t="n">
        <f aca="false">(COUNTIF($G$23:$G$82,"=PHy"))+(COUNTIF($G$23:$G$82,"=PHe"))+(COUNTIF($G$23:$G$82,"=PHg"))+(COUNTIF($G$23:$G$82,"=PHx"))</f>
        <v>8</v>
      </c>
      <c r="L15" s="114"/>
      <c r="M15" s="133" t="s">
        <v>46</v>
      </c>
      <c r="N15" s="134" t="n">
        <f aca="false">COUNTIF(J23:J82,"=1")</f>
        <v>6</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2.5</v>
      </c>
      <c r="C17" s="117" t="n">
        <v>10</v>
      </c>
      <c r="D17" s="109"/>
      <c r="E17" s="109"/>
      <c r="F17" s="139"/>
      <c r="G17" s="110" t="n">
        <f aca="false">($B17*$B$7+$C17*$C$7)/100</f>
        <v>3.25</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0.5</v>
      </c>
      <c r="C18" s="142" t="n">
        <v>0.5</v>
      </c>
      <c r="D18" s="109"/>
      <c r="E18" s="143" t="s">
        <v>52</v>
      </c>
      <c r="F18" s="139"/>
      <c r="G18" s="110" t="n">
        <f aca="false">($B18*$B$7+$C18*$C$7)/100</f>
        <v>0.5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3.505</v>
      </c>
      <c r="G19" s="151" t="n">
        <f aca="false">SUM(G16:G18)</f>
        <v>3.75</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3.06</v>
      </c>
      <c r="C20" s="160" t="n">
        <f aca="false">SUM(C23:C82)</f>
        <v>10.92</v>
      </c>
      <c r="D20" s="161"/>
      <c r="E20" s="162" t="s">
        <v>52</v>
      </c>
      <c r="F20" s="163" t="n">
        <f aca="false">($B20*$B$7+$C20*$C$7)/100</f>
        <v>3.846</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2.754</v>
      </c>
      <c r="C21" s="172" t="n">
        <f aca="false">C20*C7/100</f>
        <v>1.092</v>
      </c>
      <c r="D21" s="109" t="str">
        <f aca="false">IF(F21=0,"",IF((ABS(F21-F19))&gt;(0.2*F21),CONCATENATE(" rec. par taxa (",F21," %) supérieur à 20 % !"),""))</f>
        <v/>
      </c>
      <c r="E21" s="173" t="str">
        <f aca="false">IF(F21=0,"",IF((ABS(F21-F19))&gt;(0.2*F21),CONCATENATE("ATTENTION : écart entre rec. par grp (",F19," %) ","et",""),""))</f>
        <v/>
      </c>
      <c r="F21" s="174" t="n">
        <f aca="false">B21+C21</f>
        <v>3.846</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2.5</v>
      </c>
      <c r="C23" s="196" t="n">
        <v>2.5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2.5</v>
      </c>
      <c r="Q23" s="207" t="n">
        <f aca="false">IF(OR(ISTEXT(H23),P23=0),"",IF(P23&lt;0.1,1,IF(P23&lt;1,2,IF(P23&lt;10,3,IF(P23&lt;50,4,IF(P23&gt;=50,5,""))))))</f>
        <v>3</v>
      </c>
      <c r="R23" s="207" t="n">
        <f aca="false">IF(ISERROR(Q23*I23),0,Q23*I23)</f>
        <v>18</v>
      </c>
      <c r="S23" s="207" t="n">
        <f aca="false">IF(ISERROR(Q23*I23*J23),0,Q23*I23*J23)</f>
        <v>18</v>
      </c>
      <c r="T23" s="207" t="n">
        <f aca="false">IF(ISERROR(Q23*J23),0,Q23*J23)</f>
        <v>3</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77</v>
      </c>
      <c r="B24" s="213"/>
      <c r="C24" s="214" t="n">
        <v>0.01</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0.001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0.001</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78</v>
      </c>
      <c r="B25" s="213" t="n">
        <v>0.05</v>
      </c>
      <c r="C25" s="214" t="n">
        <v>0.05</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0.05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0.05</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79</v>
      </c>
      <c r="B26" s="213" t="n">
        <v>0.01</v>
      </c>
      <c r="C26" s="214" t="n">
        <v>0.05</v>
      </c>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0.014</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2"/>
      <c r="M26" s="222"/>
      <c r="N26" s="222"/>
      <c r="O26" s="223"/>
      <c r="P26" s="206" t="n">
        <f aca="false">IF(ISTEXT(H26),"",(B26*$B$7/100)+(C26*$C$7/100))</f>
        <v>0.014</v>
      </c>
      <c r="Q26" s="207" t="n">
        <f aca="false">IF(OR(ISTEXT(H26),P26=0),"",IF(P26&lt;0.1,1,IF(P26&lt;1,2,IF(P26&lt;10,3,IF(P26&lt;50,4,IF(P26&gt;=50,5,""))))))</f>
        <v>1</v>
      </c>
      <c r="R26" s="207" t="n">
        <f aca="false">IF(ISERROR(Q26*I26),0,Q26*I26)</f>
        <v>15</v>
      </c>
      <c r="S26" s="207" t="n">
        <f aca="false">IF(ISERROR(Q26*I26*J26),0,Q26*I26*J26)</f>
        <v>30</v>
      </c>
      <c r="T26" s="221" t="n">
        <f aca="false">IF(ISERROR(Q26*J26),0,Q26*J26)</f>
        <v>2</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15</v>
      </c>
      <c r="B27" s="213"/>
      <c r="C27" s="214" t="n">
        <v>7.5</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0.75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0.75</v>
      </c>
      <c r="Q27" s="207" t="n">
        <f aca="false">IF(OR(ISTEXT(H27),P27=0),"",IF(P27&lt;0.1,1,IF(P27&lt;1,2,IF(P27&lt;10,3,IF(P27&lt;50,4,IF(P27&gt;=50,5,""))))))</f>
        <v>2</v>
      </c>
      <c r="R27" s="207" t="n">
        <f aca="false">IF(ISERROR(Q27*I27),0,Q27*I27)</f>
        <v>20</v>
      </c>
      <c r="S27" s="207" t="n">
        <f aca="false">IF(ISERROR(Q27*I27*J27),0,Q27*I27*J27)</f>
        <v>20</v>
      </c>
      <c r="T27" s="221" t="n">
        <f aca="false">IF(ISERROR(Q27*J27),0,Q27*J27)</f>
        <v>2</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80</v>
      </c>
      <c r="B28" s="213"/>
      <c r="C28" s="214" t="n">
        <v>0.01</v>
      </c>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0.001</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0.001</v>
      </c>
      <c r="Q28" s="207" t="n">
        <f aca="false">IF(OR(ISTEXT(H28),P28=0),"",IF(P28&lt;0.1,1,IF(P28&lt;1,2,IF(P28&lt;10,3,IF(P28&lt;50,4,IF(P28&gt;=50,5,""))))))</f>
        <v>1</v>
      </c>
      <c r="R28" s="207" t="n">
        <f aca="false">IF(ISERROR(Q28*I28),0,Q28*I28)</f>
        <v>6</v>
      </c>
      <c r="S28" s="207" t="n">
        <f aca="false">IF(ISERROR(Q28*I28*J28),0,Q28*I28*J28)</f>
        <v>12</v>
      </c>
      <c r="T28" s="221" t="n">
        <f aca="false">IF(ISERROR(Q28*J28),0,Q28*J28)</f>
        <v>2</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81</v>
      </c>
      <c r="B29" s="213"/>
      <c r="C29" s="214" t="n">
        <v>0.01</v>
      </c>
      <c r="D29" s="215" t="str">
        <f aca="false">IF(ISERROR(VLOOKUP($A29,'[1]liste reference'!$A$7:$D$906,2,0)),IF(ISERROR(VLOOKUP($A29,'[1]liste reference'!$B$7:$D$906,1,0)),"",VLOOKUP($A29,'[1]liste reference'!$B$7:$D$906,1,0)),VLOOKUP($A29,'[1]liste reference'!$A$7:$D$906,2,0))</f>
        <v>Oscillatoria sp.       </v>
      </c>
      <c r="E29" s="215" t="e">
        <f aca="false">IF(D29="",0,VLOOKUP(D29,D$22:D28,1,0))</f>
        <v>#N/A</v>
      </c>
      <c r="F29" s="216" t="n">
        <f aca="false">($B29*$B$7+$C29*$C$7)/100</f>
        <v>0.001</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Oscillatoria sp.       </v>
      </c>
      <c r="L29" s="220"/>
      <c r="M29" s="220"/>
      <c r="N29" s="220"/>
      <c r="O29" s="205"/>
      <c r="P29" s="206" t="n">
        <f aca="false">IF(ISTEXT(H29),"",(B29*$B$7/100)+(C29*$C$7/100))</f>
        <v>0.001</v>
      </c>
      <c r="Q29" s="207" t="n">
        <f aca="false">IF(OR(ISTEXT(H29),P29=0),"",IF(P29&lt;0.1,1,IF(P29&lt;1,2,IF(P29&lt;10,3,IF(P29&lt;50,4,IF(P29&gt;=50,5,""))))))</f>
        <v>1</v>
      </c>
      <c r="R29" s="207" t="n">
        <f aca="false">IF(ISERROR(Q29*I29),0,Q29*I29)</f>
        <v>11</v>
      </c>
      <c r="S29" s="207" t="n">
        <f aca="false">IF(ISERROR(Q29*I29*J29),0,Q29*I29*J29)</f>
        <v>11</v>
      </c>
      <c r="T29" s="221" t="n">
        <f aca="false">IF(ISERROR(Q29*J29),0,Q29*J29)</f>
        <v>1</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0"/>
      <c r="AA29" s="211"/>
      <c r="BB29" s="8" t="n">
        <f aca="false">IF(A29="","",1)</f>
        <v>1</v>
      </c>
    </row>
    <row r="30" customFormat="false" ht="12.75" hidden="false" customHeight="false" outlineLevel="0" collapsed="false">
      <c r="A30" s="212" t="s">
        <v>82</v>
      </c>
      <c r="B30" s="213"/>
      <c r="C30" s="214" t="n">
        <v>0.01</v>
      </c>
      <c r="D30" s="215" t="str">
        <f aca="false">IF(ISERROR(VLOOKUP($A30,'[1]liste reference'!$A$7:$D$906,2,0)),IF(ISERROR(VLOOKUP($A30,'[1]liste reference'!$B$7:$D$906,1,0)),"",VLOOKUP($A30,'[1]liste reference'!$B$7:$D$906,1,0)),VLOOKUP($A30,'[1]liste reference'!$A$7:$D$906,2,0))</f>
        <v>Phormidium sp.</v>
      </c>
      <c r="E30" s="215" t="e">
        <f aca="false">IF(D30="",0,VLOOKUP(D30,D$22:D29,1,0))</f>
        <v>#N/A</v>
      </c>
      <c r="F30" s="216" t="n">
        <f aca="false">($B30*$B$7+$C30*$C$7)/100</f>
        <v>0.001</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Phormidium sp.</v>
      </c>
      <c r="L30" s="220"/>
      <c r="M30" s="220"/>
      <c r="N30" s="220"/>
      <c r="O30" s="205"/>
      <c r="P30" s="206" t="n">
        <f aca="false">IF(ISTEXT(H30),"",(B30*$B$7/100)+(C30*$C$7/100))</f>
        <v>0.001</v>
      </c>
      <c r="Q30" s="207" t="n">
        <f aca="false">IF(OR(ISTEXT(H30),P30=0),"",IF(P30&lt;0.1,1,IF(P30&lt;1,2,IF(P30&lt;10,3,IF(P30&lt;50,4,IF(P30&gt;=50,5,""))))))</f>
        <v>1</v>
      </c>
      <c r="R30" s="207" t="n">
        <f aca="false">IF(ISERROR(Q30*I30),0,Q30*I30)</f>
        <v>13</v>
      </c>
      <c r="S30" s="207" t="n">
        <f aca="false">IF(ISERROR(Q30*I30*J30),0,Q30*I30*J30)</f>
        <v>26</v>
      </c>
      <c r="T30" s="221" t="n">
        <f aca="false">IF(ISERROR(Q30*J30),0,Q30*J30)</f>
        <v>2</v>
      </c>
      <c r="U30" s="208" t="str">
        <f aca="false">IF(AND(A30="",F30=0),"",IF(F30=0,"Il manque le(s) % de rec. !",""))</f>
        <v/>
      </c>
      <c r="V30" s="209"/>
      <c r="W30" s="209"/>
      <c r="X30" s="207" t="str">
        <f aca="false">IF(A30="new.cod","NEW.COD",IF(AND((Y30=""),ISTEXT(A30)),A30,IF(Y30="","",INDEX('[1]liste reference'!$A$7:$A$906,Y30))))</f>
        <v>PHO.SPX</v>
      </c>
      <c r="Y30" s="8" t="n">
        <f aca="false">IF(ISERROR(MATCH(A30,'[1]liste reference'!$A$7:$A$906,0)),IF(ISERROR(MATCH(A30,'[1]liste reference'!$B$7:$B$906,0)),"",(MATCH(A30,'[1]liste reference'!$B$7:$B$906,0))),(MATCH(A30,'[1]liste reference'!$A$7:$A$906,0)))</f>
        <v>58</v>
      </c>
      <c r="Z30" s="210"/>
      <c r="AA30" s="211"/>
      <c r="BB30" s="8" t="n">
        <f aca="false">IF(A30="","",1)</f>
        <v>1</v>
      </c>
    </row>
    <row r="31" customFormat="false" ht="12.75" hidden="false" customHeight="false" outlineLevel="0" collapsed="false">
      <c r="A31" s="212" t="s">
        <v>83</v>
      </c>
      <c r="B31" s="213"/>
      <c r="C31" s="214" t="n">
        <v>0.5</v>
      </c>
      <c r="D31" s="215" t="str">
        <f aca="false">IF(ISERROR(VLOOKUP($A31,'[1]liste reference'!$A$7:$D$906,2,0)),IF(ISERROR(VLOOKUP($A31,'[1]liste reference'!$B$7:$D$906,1,0)),"",VLOOKUP($A31,'[1]liste reference'!$B$7:$D$906,1,0)),VLOOKUP($A31,'[1]liste reference'!$A$7:$D$906,2,0))</f>
        <v>Spirogyra sp.       </v>
      </c>
      <c r="E31" s="215" t="e">
        <f aca="false">IF(D31="",0,VLOOKUP(D31,D$22:D30,1,0))</f>
        <v>#N/A</v>
      </c>
      <c r="F31" s="216" t="n">
        <f aca="false">($B31*$B$7+$C31*$C$7)/100</f>
        <v>0.05</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Spirogyra sp.       </v>
      </c>
      <c r="L31" s="220"/>
      <c r="M31" s="220"/>
      <c r="N31" s="220"/>
      <c r="O31" s="205"/>
      <c r="P31" s="206" t="n">
        <f aca="false">IF(ISTEXT(H31),"",(B31*$B$7/100)+(C31*$C$7/100))</f>
        <v>0.05</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0"/>
      <c r="AA31" s="211"/>
      <c r="BB31" s="8" t="n">
        <f aca="false">IF(A31="","",1)</f>
        <v>1</v>
      </c>
    </row>
    <row r="32" customFormat="false" ht="12.75" hidden="false" customHeight="false" outlineLevel="0" collapsed="false">
      <c r="A32" s="212" t="s">
        <v>84</v>
      </c>
      <c r="B32" s="213"/>
      <c r="C32" s="214" t="n">
        <v>0.01</v>
      </c>
      <c r="D32" s="215" t="str">
        <f aca="false">IF(ISERROR(VLOOKUP($A32,'[1]liste reference'!$A$7:$D$906,2,0)),IF(ISERROR(VLOOKUP($A32,'[1]liste reference'!$B$7:$D$906,1,0)),"",VLOOKUP($A32,'[1]liste reference'!$B$7:$D$906,1,0)),VLOOKUP($A32,'[1]liste reference'!$A$7:$D$906,2,0))</f>
        <v>Octodiceras fontanum</v>
      </c>
      <c r="E32" s="215" t="e">
        <f aca="false">IF(D32="",0,VLOOKUP(D32,D$22:D31,1,0))</f>
        <v>#N/A</v>
      </c>
      <c r="F32" s="216" t="n">
        <f aca="false">($B32*$B$7+$C32*$C$7)/100</f>
        <v>0.001</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7</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Octodiceras fontanum</v>
      </c>
      <c r="L32" s="220"/>
      <c r="M32" s="220"/>
      <c r="N32" s="220"/>
      <c r="O32" s="205"/>
      <c r="P32" s="206" t="n">
        <f aca="false">IF(ISTEXT(H32),"",(B32*$B$7/100)+(C32*$C$7/100))</f>
        <v>0.001</v>
      </c>
      <c r="Q32" s="207" t="n">
        <f aca="false">IF(OR(ISTEXT(H32),P32=0),"",IF(P32&lt;0.1,1,IF(P32&lt;1,2,IF(P32&lt;10,3,IF(P32&lt;50,4,IF(P32&gt;=50,5,""))))))</f>
        <v>1</v>
      </c>
      <c r="R32" s="207" t="n">
        <f aca="false">IF(ISERROR(Q32*I32),0,Q32*I32)</f>
        <v>7</v>
      </c>
      <c r="S32" s="207" t="n">
        <f aca="false">IF(ISERROR(Q32*I32*J32),0,Q32*I32*J32)</f>
        <v>21</v>
      </c>
      <c r="T32" s="221" t="n">
        <f aca="false">IF(ISERROR(Q32*J32),0,Q32*J32)</f>
        <v>3</v>
      </c>
      <c r="U32" s="208" t="str">
        <f aca="false">IF(AND(A32="",F32=0),"",IF(F32=0,"Il manque le(s) % de rec. !",""))</f>
        <v/>
      </c>
      <c r="V32" s="209"/>
      <c r="X32" s="207" t="str">
        <f aca="false">IF(A32="new.cod","NEW.COD",IF(AND((Y32=""),ISTEXT(A32)),A32,IF(Y32="","",INDEX('[1]liste reference'!$A$7:$A$906,Y32))))</f>
        <v>OCT.FON</v>
      </c>
      <c r="Y32" s="8" t="n">
        <f aca="false">IF(ISERROR(MATCH(A32,'[1]liste reference'!$A$7:$A$906,0)),IF(ISERROR(MATCH(A32,'[1]liste reference'!$B$7:$B$906,0)),"",(MATCH(A32,'[1]liste reference'!$B$7:$B$906,0))),(MATCH(A32,'[1]liste reference'!$A$7:$A$906,0)))</f>
        <v>229</v>
      </c>
      <c r="Z32" s="210"/>
      <c r="AA32" s="211"/>
      <c r="BB32" s="8" t="n">
        <f aca="false">IF(A32="","",1)</f>
        <v>1</v>
      </c>
    </row>
    <row r="33" customFormat="false" ht="12.75" hidden="false" customHeight="false" outlineLevel="0" collapsed="false">
      <c r="A33" s="212" t="s">
        <v>85</v>
      </c>
      <c r="B33" s="213"/>
      <c r="C33" s="214" t="n">
        <v>0.01</v>
      </c>
      <c r="D33" s="215" t="str">
        <f aca="false">IF(ISERROR(VLOOKUP($A33,'[1]liste reference'!$A$7:$D$906,2,0)),IF(ISERROR(VLOOKUP($A33,'[1]liste reference'!$B$7:$D$906,1,0)),"",VLOOKUP($A33,'[1]liste reference'!$B$7:$D$906,1,0)),VLOOKUP($A33,'[1]liste reference'!$A$7:$D$906,2,0))</f>
        <v>Equisetum arvense   </v>
      </c>
      <c r="E33" s="215" t="e">
        <f aca="false">IF(D33="",0,VLOOKUP(D33,D$22:D32,1,0))</f>
        <v>#N/A</v>
      </c>
      <c r="F33" s="216" t="n">
        <f aca="false">($B33*$B$7+$C33*$C$7)/100</f>
        <v>0.001</v>
      </c>
      <c r="G33" s="217" t="str">
        <f aca="false">IF(A33="","",IF(ISERROR(VLOOKUP($A33,'[1]liste reference'!$A$7:$P$906,13,0)),IF(ISERROR(VLOOKUP($A33,'[1]liste reference'!$B$7:$P$906,12,0)),"    -",VLOOKUP($A33,'[1]liste reference'!$B$7:$P$906,12,0)),VLOOKUP($A33,'[1]liste reference'!$A$7:$P$906,13,0)))</f>
        <v>PTE</v>
      </c>
      <c r="H33" s="200" t="n">
        <f aca="false">IF(A33="","x",IF(ISERROR(VLOOKUP($A33,'[1]liste reference'!$A$7:$P$906,14,0)),IF(ISERROR(VLOOKUP($A33,'[1]liste reference'!$B$7:$P$906,13,0)),"x",VLOOKUP($A33,'[1]liste reference'!$B$7:$P$906,13,0)),VLOOKUP($A33,'[1]liste reference'!$A$7:$P$906,14,0)))</f>
        <v>6</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Equisetum arvense   </v>
      </c>
      <c r="L33" s="220"/>
      <c r="M33" s="220"/>
      <c r="N33" s="220"/>
      <c r="O33" s="205"/>
      <c r="P33" s="206" t="n">
        <f aca="false">IF(ISTEXT(H33),"",(B33*$B$7/100)+(C33*$C$7/100))</f>
        <v>0.001</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W33" s="209"/>
      <c r="X33" s="207" t="str">
        <f aca="false">IF(A33="new.cod","NEW.COD",IF(AND((Y33=""),ISTEXT(A33)),A33,IF(Y33="","",INDEX('[1]liste reference'!$A$7:$A$906,Y33))))</f>
        <v>EQU.ARV</v>
      </c>
      <c r="Y33" s="8" t="n">
        <f aca="false">IF(ISERROR(MATCH(A33,'[1]liste reference'!$A$7:$A$906,0)),IF(ISERROR(MATCH(A33,'[1]liste reference'!$B$7:$B$906,0)),"",(MATCH(A33,'[1]liste reference'!$B$7:$B$906,0))),(MATCH(A33,'[1]liste reference'!$A$7:$A$906,0)))</f>
        <v>279</v>
      </c>
      <c r="Z33" s="210"/>
      <c r="AA33" s="211"/>
      <c r="BB33" s="8" t="n">
        <f aca="false">IF(A33="","",1)</f>
        <v>1</v>
      </c>
    </row>
    <row r="34" customFormat="false" ht="12.75" hidden="false" customHeight="false" outlineLevel="0" collapsed="false">
      <c r="A34" s="212" t="s">
        <v>86</v>
      </c>
      <c r="B34" s="213"/>
      <c r="C34" s="214" t="n">
        <v>0.01</v>
      </c>
      <c r="D34" s="215" t="str">
        <f aca="false">IF(ISERROR(VLOOKUP($A34,'[1]liste reference'!$A$7:$D$906,2,0)),IF(ISERROR(VLOOKUP($A34,'[1]liste reference'!$B$7:$D$906,1,0)),"",VLOOKUP($A34,'[1]liste reference'!$B$7:$D$906,1,0)),VLOOKUP($A34,'[1]liste reference'!$A$7:$D$906,2,0))</f>
        <v>Myriophyllum spicatum</v>
      </c>
      <c r="E34" s="215" t="e">
        <f aca="false">IF(D34="",0,VLOOKUP(D34,D$22:D33,1,0))</f>
        <v>#N/A</v>
      </c>
      <c r="F34" s="224" t="n">
        <f aca="false">($B34*$B$7+$C34*$C$7)/100</f>
        <v>0.001</v>
      </c>
      <c r="G34" s="217" t="str">
        <f aca="false">IF(A34="","",IF(ISERROR(VLOOKUP($A34,'[1]liste reference'!$A$7:$P$906,13,0)),IF(ISERROR(VLOOKUP($A34,'[1]liste reference'!$B$7:$P$906,12,0)),"    -",VLOOKUP($A34,'[1]liste reference'!$B$7:$P$906,12,0)),VLOOKUP($A34,'[1]liste reference'!$A$7:$P$906,13,0)))</f>
        <v>PHy</v>
      </c>
      <c r="H34" s="200" t="n">
        <f aca="false">IF(A34="","x",IF(ISERROR(VLOOKUP($A34,'[1]liste reference'!$A$7:$P$906,14,0)),IF(ISERROR(VLOOKUP($A34,'[1]liste reference'!$B$7:$P$906,13,0)),"x",VLOOKUP($A34,'[1]liste reference'!$B$7:$P$906,13,0)),VLOOKUP($A34,'[1]liste reference'!$A$7:$P$906,14,0)))</f>
        <v>7</v>
      </c>
      <c r="I34" s="218" t="n">
        <f aca="false">IF(ISNUMBER(H34),IF(ISERROR(VLOOKUP($A34,'[1]liste reference'!$A$7:$P$906,3,0)),IF(ISERROR(VLOOKUP($A34,'[1]liste reference'!$B$7:$P$906,2,0)),"",VLOOKUP($A34,'[1]liste reference'!$B$7:$P$906,2,0)),VLOOKUP($A34,'[1]liste reference'!$A$7:$P$906,3,0)),"")</f>
        <v>8</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Myriophyllum spicatum</v>
      </c>
      <c r="L34" s="220"/>
      <c r="M34" s="220"/>
      <c r="N34" s="220"/>
      <c r="O34" s="205"/>
      <c r="P34" s="206" t="n">
        <f aca="false">IF(ISTEXT(H34),"",(B34*$B$7/100)+(C34*$C$7/100))</f>
        <v>0.001</v>
      </c>
      <c r="Q34" s="207" t="n">
        <f aca="false">IF(OR(ISTEXT(H34),P34=0),"",IF(P34&lt;0.1,1,IF(P34&lt;1,2,IF(P34&lt;10,3,IF(P34&lt;50,4,IF(P34&gt;=50,5,""))))))</f>
        <v>1</v>
      </c>
      <c r="R34" s="207" t="n">
        <f aca="false">IF(ISERROR(Q34*I34),0,Q34*I34)</f>
        <v>8</v>
      </c>
      <c r="S34" s="207" t="n">
        <f aca="false">IF(ISERROR(Q34*I34*J34),0,Q34*I34*J34)</f>
        <v>16</v>
      </c>
      <c r="T34" s="221" t="n">
        <f aca="false">IF(ISERROR(Q34*J34),0,Q34*J34)</f>
        <v>2</v>
      </c>
      <c r="U34" s="208" t="str">
        <f aca="false">IF(AND(A34="",F34=0),"",IF(F34=0,"Il manque le(s) % de rec. !",""))</f>
        <v/>
      </c>
      <c r="V34" s="225"/>
      <c r="X34" s="207" t="str">
        <f aca="false">IF(A34="new.cod","NEW.COD",IF(AND((Y34=""),ISTEXT(A34)),A34,IF(Y34="","",INDEX('[1]liste reference'!$A$7:$A$906,Y34))))</f>
        <v>MYR.SPI</v>
      </c>
      <c r="Y34" s="8" t="n">
        <f aca="false">IF(ISERROR(MATCH(A34,'[1]liste reference'!$A$7:$A$906,0)),IF(ISERROR(MATCH(A34,'[1]liste reference'!$B$7:$B$906,0)),"",(MATCH(A34,'[1]liste reference'!$B$7:$B$906,0))),(MATCH(A34,'[1]liste reference'!$A$7:$A$906,0)))</f>
        <v>377</v>
      </c>
      <c r="Z34" s="210"/>
      <c r="AA34" s="211"/>
      <c r="BB34" s="8" t="n">
        <f aca="false">IF(A34="","",1)</f>
        <v>1</v>
      </c>
    </row>
    <row r="35" customFormat="false" ht="12.75" hidden="false" customHeight="false" outlineLevel="0" collapsed="false">
      <c r="A35" s="212" t="s">
        <v>87</v>
      </c>
      <c r="B35" s="213"/>
      <c r="C35" s="214" t="n">
        <v>0.05</v>
      </c>
      <c r="D35" s="215" t="str">
        <f aca="false">IF(ISERROR(VLOOKUP($A35,'[1]liste reference'!$A$7:$D$906,2,0)),IF(ISERROR(VLOOKUP($A35,'[1]liste reference'!$B$7:$D$906,1,0)),"",VLOOKUP($A35,'[1]liste reference'!$B$7:$D$906,1,0)),VLOOKUP($A35,'[1]liste reference'!$A$7:$D$906,2,0))</f>
        <v>Carex acuta (Carex gracilis)    </v>
      </c>
      <c r="E35" s="215" t="e">
        <f aca="false">IF(D35="",0,VLOOKUP(D35,D$21:D34,1,0))</f>
        <v>#N/A</v>
      </c>
      <c r="F35" s="224" t="n">
        <f aca="false">($B35*$B$7+$C35*$C$7)/100</f>
        <v>0.005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Carex acuta (Carex gracilis)    </v>
      </c>
      <c r="L35" s="220"/>
      <c r="M35" s="220"/>
      <c r="N35" s="220"/>
      <c r="O35" s="205"/>
      <c r="P35" s="206" t="n">
        <f aca="false">IF(ISTEXT(H35),"",(B35*$B$7/100)+(C35*$C$7/100))</f>
        <v>0.005</v>
      </c>
      <c r="Q35" s="207" t="n">
        <f aca="false">IF(OR(ISTEXT(H35),P35=0),"",IF(P35&lt;0.1,1,IF(P35&lt;1,2,IF(P35&lt;10,3,IF(P35&lt;50,4,IF(P35&gt;=50,5,""))))))</f>
        <v>1</v>
      </c>
      <c r="R35" s="207" t="n">
        <f aca="false">IF(ISERROR(Q35*I35),0,Q35*I35)</f>
        <v>0</v>
      </c>
      <c r="S35" s="207" t="n">
        <f aca="false">IF(ISERROR(Q35*I35*J35),0,Q35*I35*J35)</f>
        <v>0</v>
      </c>
      <c r="T35" s="221" t="n">
        <f aca="false">IF(ISERROR(Q35*J35),0,Q35*J35)</f>
        <v>0</v>
      </c>
      <c r="U35" s="208" t="str">
        <f aca="false">IF(AND(A35="",F35=0),"",IF(F35=0,"Il manque le(s) % de rec. !",""))</f>
        <v/>
      </c>
      <c r="V35" s="209"/>
      <c r="W35" s="226"/>
      <c r="X35" s="207" t="str">
        <f aca="false">IF(A35="new.cod","NEW.COD",IF(AND((Y35=""),ISTEXT(A35)),A35,IF(Y35="","",INDEX('[1]liste reference'!$A$7:$A$906,Y35))))</f>
        <v>CAR.ACU</v>
      </c>
      <c r="Y35" s="8" t="n">
        <f aca="false">IF(ISERROR(MATCH(A35,'[1]liste reference'!$A$7:$A$906,0)),IF(ISERROR(MATCH(A35,'[1]liste reference'!$B$7:$B$906,0)),"",(MATCH(A35,'[1]liste reference'!$B$7:$B$906,0))),(MATCH(A35,'[1]liste reference'!$A$7:$A$906,0)))</f>
        <v>542</v>
      </c>
      <c r="Z35" s="210"/>
      <c r="AA35" s="211"/>
      <c r="BB35" s="8" t="n">
        <f aca="false">IF(A35="","",1)</f>
        <v>1</v>
      </c>
    </row>
    <row r="36" customFormat="false" ht="12.75" hidden="false" customHeight="false" outlineLevel="0" collapsed="false">
      <c r="A36" s="212" t="s">
        <v>88</v>
      </c>
      <c r="B36" s="213"/>
      <c r="C36" s="214" t="n">
        <v>0.05</v>
      </c>
      <c r="D36" s="215" t="str">
        <f aca="false">IF(ISERROR(VLOOKUP($A36,'[1]liste reference'!$A$7:$D$906,2,0)),IF(ISERROR(VLOOKUP($A36,'[1]liste reference'!$B$7:$D$906,1,0)),"",VLOOKUP($A36,'[1]liste reference'!$B$7:$D$906,1,0)),VLOOKUP($A36,'[1]liste reference'!$A$7:$D$906,2,0))</f>
        <v>Lysimachia vulgaris</v>
      </c>
      <c r="E36" s="215" t="e">
        <f aca="false">IF(D36="",0,VLOOKUP(D36,D$22:D35,1,0))</f>
        <v>#N/A</v>
      </c>
      <c r="F36" s="224" t="n">
        <f aca="false">($B36*$B$7+$C36*$C$7)/100</f>
        <v>0.005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Lysimachia vulgaris</v>
      </c>
      <c r="L36" s="220"/>
      <c r="M36" s="220"/>
      <c r="N36" s="220"/>
      <c r="O36" s="205"/>
      <c r="P36" s="206" t="n">
        <f aca="false">IF(ISTEXT(H36),"",(B36*$B$7/100)+(C36*$C$7/100))</f>
        <v>0.005</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LYS.VUL</v>
      </c>
      <c r="Y36" s="8" t="n">
        <f aca="false">IF(ISERROR(MATCH(A36,'[1]liste reference'!$A$7:$A$906,0)),IF(ISERROR(MATCH(A36,'[1]liste reference'!$B$7:$B$906,0)),"",(MATCH(A36,'[1]liste reference'!$B$7:$B$906,0))),(MATCH(A36,'[1]liste reference'!$A$7:$A$906,0)))</f>
        <v>607</v>
      </c>
      <c r="Z36" s="210"/>
      <c r="AA36" s="211"/>
      <c r="BB36" s="8" t="n">
        <f aca="false">IF(A36="","",1)</f>
        <v>1</v>
      </c>
    </row>
    <row r="37" customFormat="false" ht="12.75" hidden="false" customHeight="false" outlineLevel="0" collapsed="false">
      <c r="A37" s="212" t="s">
        <v>89</v>
      </c>
      <c r="B37" s="213"/>
      <c r="C37" s="214" t="n">
        <v>0.01</v>
      </c>
      <c r="D37" s="215" t="str">
        <f aca="false">IF(ISERROR(VLOOKUP($A37,'[1]liste reference'!$A$7:$D$906,2,0)),IF(ISERROR(VLOOKUP($A37,'[1]liste reference'!$B$7:$D$906,1,0)),"",VLOOKUP($A37,'[1]liste reference'!$B$7:$D$906,1,0)),VLOOKUP($A37,'[1]liste reference'!$A$7:$D$906,2,0))</f>
        <v>Lythrum salicaria</v>
      </c>
      <c r="E37" s="215" t="e">
        <f aca="false">IF(D37="",0,VLOOKUP(D37,D$22:D36,1,0))</f>
        <v>#N/A</v>
      </c>
      <c r="F37" s="224" t="n">
        <f aca="false">($B37*$B$7+$C37*$C$7)/100</f>
        <v>0.001</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Lythrum salicaria</v>
      </c>
      <c r="L37" s="220"/>
      <c r="M37" s="220"/>
      <c r="N37" s="220"/>
      <c r="O37" s="205"/>
      <c r="P37" s="206" t="n">
        <f aca="false">IF(ISTEXT(H37),"",(B37*$B$7/100)+(C37*$C$7/100))</f>
        <v>0.001</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LYT.SAL</v>
      </c>
      <c r="Y37" s="8" t="n">
        <f aca="false">IF(ISERROR(MATCH(A37,'[1]liste reference'!$A$7:$A$906,0)),IF(ISERROR(MATCH(A37,'[1]liste reference'!$B$7:$B$906,0)),"",(MATCH(A37,'[1]liste reference'!$B$7:$B$906,0))),(MATCH(A37,'[1]liste reference'!$A$7:$A$906,0)))</f>
        <v>611</v>
      </c>
      <c r="Z37" s="210"/>
      <c r="AA37" s="211"/>
      <c r="BB37" s="8" t="n">
        <f aca="false">IF(A37="","",1)</f>
        <v>1</v>
      </c>
    </row>
    <row r="38" customFormat="false" ht="12.75" hidden="false" customHeight="false" outlineLevel="0" collapsed="false">
      <c r="A38" s="212" t="s">
        <v>90</v>
      </c>
      <c r="B38" s="213"/>
      <c r="C38" s="214" t="n">
        <v>0.01</v>
      </c>
      <c r="D38" s="215" t="str">
        <f aca="false">IF(ISERROR(VLOOKUP($A38,'[1]liste reference'!$A$7:$D$906,2,0)),IF(ISERROR(VLOOKUP($A38,'[1]liste reference'!$B$7:$D$906,1,0)),"",VLOOKUP($A38,'[1]liste reference'!$B$7:$D$906,1,0)),VLOOKUP($A38,'[1]liste reference'!$A$7:$D$906,2,0))</f>
        <v>Phalaris arundinacea</v>
      </c>
      <c r="E38" s="215" t="e">
        <f aca="false">IF(D38="",0,VLOOKUP(D38,D$22:D37,1,0))</f>
        <v>#N/A</v>
      </c>
      <c r="F38" s="224" t="n">
        <f aca="false">($B38*$B$7+$C38*$C$7)/100</f>
        <v>0.001</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Phalaris arundinacea</v>
      </c>
      <c r="L38" s="220"/>
      <c r="M38" s="220"/>
      <c r="N38" s="220"/>
      <c r="O38" s="205"/>
      <c r="P38" s="206" t="n">
        <f aca="false">IF(ISTEXT(H38),"",(B38*$B$7/100)+(C38*$C$7/100))</f>
        <v>0.001</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09"/>
      <c r="X38" s="207" t="str">
        <f aca="false">IF(A38="new.cod","NEW.COD",IF(AND((Y38=""),ISTEXT(A38)),A38,IF(Y38="","",INDEX('[1]liste reference'!$A$7:$A$906,Y38))))</f>
        <v>PHA.ARU</v>
      </c>
      <c r="Y38" s="8" t="n">
        <f aca="false">IF(ISERROR(MATCH(A38,'[1]liste reference'!$A$7:$A$906,0)),IF(ISERROR(MATCH(A38,'[1]liste reference'!$B$7:$B$906,0)),"",(MATCH(A38,'[1]liste reference'!$B$7:$B$906,0))),(MATCH(A38,'[1]liste reference'!$A$7:$A$906,0)))</f>
        <v>640</v>
      </c>
      <c r="Z38" s="210"/>
      <c r="AA38" s="211"/>
      <c r="BB38" s="8" t="n">
        <f aca="false">IF(A38="","",1)</f>
        <v>1</v>
      </c>
    </row>
    <row r="39" customFormat="false" ht="12.75" hidden="false" customHeight="false" outlineLevel="0" collapsed="false">
      <c r="A39" s="212" t="s">
        <v>91</v>
      </c>
      <c r="B39" s="213"/>
      <c r="C39" s="214" t="n">
        <v>0.01</v>
      </c>
      <c r="D39" s="215" t="str">
        <f aca="false">IF(ISERROR(VLOOKUP($A39,'[1]liste reference'!$A$7:$D$906,2,0)),IF(ISERROR(VLOOKUP($A39,'[1]liste reference'!$B$7:$D$906,1,0)),"",VLOOKUP($A39,'[1]liste reference'!$B$7:$D$906,1,0)),VLOOKUP($A39,'[1]liste reference'!$A$7:$D$906,2,0))</f>
        <v>Rorippa amphibia</v>
      </c>
      <c r="E39" s="215" t="e">
        <f aca="false">IF(D39="",0,VLOOKUP(D39,D$22:D38,1,0))</f>
        <v>#N/A</v>
      </c>
      <c r="F39" s="224" t="n">
        <f aca="false">($B39*$B$7+$C39*$C$7)/100</f>
        <v>0.001</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9</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Rorippa amphibia</v>
      </c>
      <c r="L39" s="220"/>
      <c r="M39" s="220"/>
      <c r="N39" s="220"/>
      <c r="O39" s="205"/>
      <c r="P39" s="206" t="n">
        <f aca="false">IF(ISTEXT(H39),"",(B39*$B$7/100)+(C39*$C$7/100))</f>
        <v>0.001</v>
      </c>
      <c r="Q39" s="207" t="n">
        <f aca="false">IF(OR(ISTEXT(H39),P39=0),"",IF(P39&lt;0.1,1,IF(P39&lt;1,2,IF(P39&lt;10,3,IF(P39&lt;50,4,IF(P39&gt;=50,5,""))))))</f>
        <v>1</v>
      </c>
      <c r="R39" s="207" t="n">
        <f aca="false">IF(ISERROR(Q39*I39),0,Q39*I39)</f>
        <v>9</v>
      </c>
      <c r="S39" s="207" t="n">
        <f aca="false">IF(ISERROR(Q39*I39*J39),0,Q39*I39*J39)</f>
        <v>9</v>
      </c>
      <c r="T39" s="221" t="n">
        <f aca="false">IF(ISERROR(Q39*J39),0,Q39*J39)</f>
        <v>1</v>
      </c>
      <c r="U39" s="208" t="str">
        <f aca="false">IF(AND(A39="",F39=0),"",IF(F39=0,"Il manque le(s) % de rec. !",""))</f>
        <v/>
      </c>
      <c r="V39" s="209"/>
      <c r="X39" s="207" t="str">
        <f aca="false">IF(A39="new.cod","NEW.COD",IF(AND((Y39=""),ISTEXT(A39)),A39,IF(Y39="","",INDEX('[1]liste reference'!$A$7:$A$906,Y39))))</f>
        <v>ROR.AMP</v>
      </c>
      <c r="Y39" s="8" t="n">
        <f aca="false">IF(ISERROR(MATCH(A39,'[1]liste reference'!$A$7:$A$906,0)),IF(ISERROR(MATCH(A39,'[1]liste reference'!$B$7:$B$906,0)),"",(MATCH(A39,'[1]liste reference'!$B$7:$B$906,0))),(MATCH(A39,'[1]liste reference'!$A$7:$A$906,0)))</f>
        <v>651</v>
      </c>
      <c r="Z39" s="210"/>
      <c r="AA39" s="211"/>
      <c r="BB39" s="8" t="n">
        <f aca="false">IF(A39="","",1)</f>
        <v>1</v>
      </c>
    </row>
    <row r="40" customFormat="false" ht="12.75" hidden="false" customHeight="false" outlineLevel="0" collapsed="false">
      <c r="A40" s="212" t="s">
        <v>92</v>
      </c>
      <c r="B40" s="213"/>
      <c r="C40" s="214" t="n">
        <v>0.01</v>
      </c>
      <c r="D40" s="215" t="str">
        <f aca="false">IF(ISERROR(VLOOKUP($A40,'[1]liste reference'!$A$7:$D$906,2,0)),IF(ISERROR(VLOOKUP($A40,'[1]liste reference'!$B$7:$D$906,1,0)),"",VLOOKUP($A40,'[1]liste reference'!$B$7:$D$906,1,0)),VLOOKUP($A40,'[1]liste reference'!$A$7:$D$906,2,0))</f>
        <v>Bidens tripartita  </v>
      </c>
      <c r="E40" s="215" t="e">
        <f aca="false">IF(D40="",0,VLOOKUP(D40,D$22:D39,1,0))</f>
        <v>#N/A</v>
      </c>
      <c r="F40" s="224" t="n">
        <f aca="false">($B40*$B$7+$C40*$C$7)/100</f>
        <v>0.001</v>
      </c>
      <c r="G40" s="217" t="str">
        <f aca="false">IF(A40="","",IF(ISERROR(VLOOKUP($A40,'[1]liste reference'!$A$7:$P$906,13,0)),IF(ISERROR(VLOOKUP($A40,'[1]liste reference'!$B$7:$P$906,12,0)),"    -",VLOOKUP($A40,'[1]liste reference'!$B$7:$P$906,12,0)),VLOOKUP($A40,'[1]liste reference'!$A$7:$P$906,13,0)))</f>
        <v>PHg</v>
      </c>
      <c r="H40" s="200" t="n">
        <f aca="false">IF(A40="","x",IF(ISERROR(VLOOKUP($A40,'[1]liste reference'!$A$7:$P$906,14,0)),IF(ISERROR(VLOOKUP($A40,'[1]liste reference'!$B$7:$P$906,13,0)),"x",VLOOKUP($A40,'[1]liste reference'!$B$7:$P$906,13,0)),VLOOKUP($A40,'[1]liste reference'!$A$7:$P$906,14,0)))</f>
        <v>9</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Bidens tripartita  </v>
      </c>
      <c r="L40" s="222"/>
      <c r="M40" s="222"/>
      <c r="N40" s="222"/>
      <c r="O40" s="223"/>
      <c r="P40" s="206" t="n">
        <f aca="false">IF(ISTEXT(H40),"",(B40*$B$7/100)+(C40*$C$7/100))</f>
        <v>0.001</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BID.TRI</v>
      </c>
      <c r="Y40" s="8" t="n">
        <f aca="false">IF(ISERROR(MATCH(A40,'[1]liste reference'!$A$7:$A$906,0)),IF(ISERROR(MATCH(A40,'[1]liste reference'!$B$7:$B$906,0)),"",(MATCH(A40,'[1]liste reference'!$B$7:$B$906,0))),(MATCH(A40,'[1]liste reference'!$A$7:$A$906,0)))</f>
        <v>711</v>
      </c>
      <c r="Z40" s="210"/>
      <c r="AA40" s="211"/>
      <c r="BB40" s="8" t="n">
        <f aca="false">IF(A40="","",1)</f>
        <v>1</v>
      </c>
    </row>
    <row r="41" customFormat="false" ht="12.75" hidden="false" customHeight="false" outlineLevel="0" collapsed="false">
      <c r="A41" s="212" t="s">
        <v>93</v>
      </c>
      <c r="B41" s="213"/>
      <c r="C41" s="214" t="n">
        <v>0.05</v>
      </c>
      <c r="D41" s="215" t="str">
        <f aca="false">IF(ISERROR(VLOOKUP($A41,'[1]liste reference'!$A$7:$D$906,2,0)),IF(ISERROR(VLOOKUP($A41,'[1]liste reference'!$B$7:$D$906,1,0)),"",VLOOKUP($A41,'[1]liste reference'!$B$7:$D$906,1,0)),VLOOKUP($A41,'[1]liste reference'!$A$7:$D$906,2,0))</f>
        <v>Leersia oryzoïdes</v>
      </c>
      <c r="E41" s="215" t="e">
        <f aca="false">IF(D41="",0,VLOOKUP(D41,D$22:D40,1,0))</f>
        <v>#N/A</v>
      </c>
      <c r="F41" s="224" t="n">
        <f aca="false">($B41*$B$7+$C41*$C$7)/100</f>
        <v>0.005</v>
      </c>
      <c r="G41" s="217" t="str">
        <f aca="false">IF(A41="","",IF(ISERROR(VLOOKUP($A41,'[1]liste reference'!$A$7:$P$906,13,0)),IF(ISERROR(VLOOKUP($A41,'[1]liste reference'!$B$7:$P$906,12,0)),"    -",VLOOKUP($A41,'[1]liste reference'!$B$7:$P$906,12,0)),VLOOKUP($A41,'[1]liste reference'!$A$7:$P$906,13,0)))</f>
        <v>PHg</v>
      </c>
      <c r="H41" s="200" t="n">
        <f aca="false">IF(A41="","x",IF(ISERROR(VLOOKUP($A41,'[1]liste reference'!$A$7:$P$906,14,0)),IF(ISERROR(VLOOKUP($A41,'[1]liste reference'!$B$7:$P$906,13,0)),"x",VLOOKUP($A41,'[1]liste reference'!$B$7:$P$906,13,0)),VLOOKUP($A41,'[1]liste reference'!$A$7:$P$906,14,0)))</f>
        <v>9</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Leersia oryzoïdes</v>
      </c>
      <c r="L41" s="220"/>
      <c r="M41" s="220"/>
      <c r="N41" s="220"/>
      <c r="O41" s="205"/>
      <c r="P41" s="206" t="n">
        <f aca="false">IF(ISTEXT(H41),"",(B41*$B$7/100)+(C41*$C$7/100))</f>
        <v>0.005</v>
      </c>
      <c r="Q41" s="207" t="n">
        <f aca="false">IF(OR(ISTEXT(H41),P41=0),"",IF(P41&lt;0.1,1,IF(P41&lt;1,2,IF(P41&lt;10,3,IF(P41&lt;50,4,IF(P41&gt;=50,5,""))))))</f>
        <v>1</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LEE.ORY</v>
      </c>
      <c r="Y41" s="8" t="n">
        <f aca="false">IF(ISERROR(MATCH(A41,'[1]liste reference'!$A$7:$A$906,0)),IF(ISERROR(MATCH(A41,'[1]liste reference'!$B$7:$B$906,0)),"",(MATCH(A41,'[1]liste reference'!$B$7:$B$906,0))),(MATCH(A41,'[1]liste reference'!$A$7:$A$906,0)))</f>
        <v>780</v>
      </c>
      <c r="Z41" s="210"/>
      <c r="AA41" s="211"/>
      <c r="BB41" s="8" t="n">
        <f aca="false">IF(A41="","",1)</f>
        <v>1</v>
      </c>
    </row>
    <row r="42" customFormat="false" ht="12.75" hidden="false" customHeight="false" outlineLevel="0" collapsed="false">
      <c r="A42" s="212" t="s">
        <v>94</v>
      </c>
      <c r="B42" s="213"/>
      <c r="C42" s="214" t="n">
        <v>0.01</v>
      </c>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0.001</v>
      </c>
      <c r="G42" s="217" t="str">
        <f aca="false">IF(A42="","",IF(ISERROR(VLOOKUP($A42,'[1]liste reference'!$A$7:$P$906,13,0)),IF(ISERROR(VLOOKUP($A42,'[1]liste reference'!$B$7:$P$906,12,0)),"    -",VLOOKUP($A42,'[1]liste reference'!$B$7:$P$906,12,0)),VLOOKUP($A42,'[1]liste reference'!$A$7:$P$906,13,0)))</f>
        <v>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20" t="s">
        <v>95</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NEWCOD</v>
      </c>
      <c r="Y42" s="8" t="str">
        <f aca="false">IF(ISERROR(MATCH(A42,'[1]liste reference'!$A$7:$A$906,0)),IF(ISERROR(MATCH(A42,'[1]liste reference'!$B$7:$B$906,0)),"",(MATCH(A42,'[1]liste reference'!$B$7:$B$906,0))),(MATCH(A42,'[1]liste reference'!$A$7:$A$906,0)))</f>
        <v/>
      </c>
      <c r="Z42" s="210"/>
      <c r="AA42" s="211"/>
      <c r="BB42" s="8" t="n">
        <f aca="false">IF(A42="","",1)</f>
        <v>1</v>
      </c>
    </row>
    <row r="43" customFormat="false" ht="12.75" hidden="false" customHeight="false" outlineLevel="0" collapsed="false">
      <c r="A43" s="212" t="s">
        <v>94</v>
      </c>
      <c r="B43" s="213"/>
      <c r="C43" s="214" t="n">
        <v>0.05</v>
      </c>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0.005</v>
      </c>
      <c r="G43" s="217" t="str">
        <f aca="false">IF(A43="","",IF(ISERROR(VLOOKUP($A43,'[1]liste reference'!$A$7:$P$906,13,0)),IF(ISERROR(VLOOKUP($A43,'[1]liste reference'!$B$7:$P$906,12,0)),"    -",VLOOKUP($A43,'[1]liste reference'!$B$7:$P$906,12,0)),VLOOKUP($A43,'[1]liste reference'!$A$7:$P$906,13,0)))</f>
        <v>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20" t="s">
        <v>96</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NEWCOD</v>
      </c>
      <c r="Y43" s="8" t="str">
        <f aca="false">IF(ISERROR(MATCH(A43,'[1]liste reference'!$A$7:$A$906,0)),IF(ISERROR(MATCH(A43,'[1]liste reference'!$B$7:$B$906,0)),"",(MATCH(A43,'[1]liste reference'!$B$7:$B$906,0))),(MATCH(A43,'[1]liste reference'!$A$7:$A$906,0)))</f>
        <v/>
      </c>
      <c r="Z43" s="210"/>
      <c r="AA43" s="211"/>
      <c r="BB43" s="8" t="n">
        <f aca="false">IF(A43="","",1)</f>
        <v>1</v>
      </c>
    </row>
    <row r="44" customFormat="false" ht="12.75" hidden="false" customHeight="false" outlineLevel="0" collapsed="false">
      <c r="A44" s="212" t="s">
        <v>94</v>
      </c>
      <c r="B44" s="213" t="n">
        <v>0.5</v>
      </c>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0.45</v>
      </c>
      <c r="G44" s="217" t="str">
        <f aca="false">IF(A44="","",IF(ISERROR(VLOOKUP($A44,'[1]liste reference'!$A$7:$P$906,13,0)),IF(ISERROR(VLOOKUP($A44,'[1]liste reference'!$B$7:$P$906,12,0)),"    -",VLOOKUP($A44,'[1]liste reference'!$B$7:$P$906,12,0)),VLOOKUP($A44,'[1]liste reference'!$A$7:$P$906,13,0)))</f>
        <v>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20" t="s">
        <v>97</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NEWCOD</v>
      </c>
      <c r="Y44" s="8" t="str">
        <f aca="false">IF(ISERROR(MATCH(A44,'[1]liste reference'!$A$7:$A$906,0)),IF(ISERROR(MATCH(A44,'[1]liste reference'!$B$7:$B$906,0)),"",(MATCH(A44,'[1]liste reference'!$B$7:$B$906,0))),(MATCH(A44,'[1]liste reference'!$A$7:$A$906,0)))</f>
        <v/>
      </c>
      <c r="Z44" s="210"/>
      <c r="AA44" s="211"/>
      <c r="BB44" s="8" t="n">
        <f aca="false">IF(A44="","",1)</f>
        <v>1</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4"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4"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2"/>
      <c r="M80" s="222"/>
      <c r="N80" s="222"/>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IF(D81="",0,VLOOKUP(D81,D$20:D79,1,0))</f>
        <v>0</v>
      </c>
      <c r="F81" s="224"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23"/>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28"/>
      <c r="W81" s="22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98</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ALLIER</v>
      </c>
      <c r="B84" s="246" t="str">
        <f aca="false">C3</f>
        <v>Orbeil</v>
      </c>
      <c r="C84" s="247" t="n">
        <f aca="false">A4</f>
        <v>40045</v>
      </c>
      <c r="D84" s="248" t="n">
        <f aca="false">IF(ISERROR(SUM($S$23:$S$82)/SUM($T$23:$T$82)),"",SUM($S$23:$S$82)/SUM($T$23:$T$82))</f>
        <v>9.875</v>
      </c>
      <c r="E84" s="249" t="n">
        <f aca="false">N13</f>
        <v>22</v>
      </c>
      <c r="F84" s="250" t="n">
        <f aca="false">N14</f>
        <v>13</v>
      </c>
      <c r="G84" s="250" t="n">
        <f aca="false">N15</f>
        <v>6</v>
      </c>
      <c r="H84" s="250" t="n">
        <f aca="false">N16</f>
        <v>6</v>
      </c>
      <c r="I84" s="250" t="n">
        <f aca="false">N17</f>
        <v>1</v>
      </c>
      <c r="J84" s="251" t="n">
        <f aca="false">N8</f>
        <v>10.1538461538462</v>
      </c>
      <c r="K84" s="248" t="n">
        <f aca="false">N9</f>
        <v>3.02341291275698</v>
      </c>
      <c r="L84" s="249" t="n">
        <f aca="false">N10</f>
        <v>6</v>
      </c>
      <c r="M84" s="249" t="n">
        <f aca="false">N11</f>
        <v>15</v>
      </c>
      <c r="N84" s="248" t="n">
        <f aca="false">O8</f>
        <v>1.61538461538462</v>
      </c>
      <c r="O84" s="248" t="n">
        <f aca="false">O9</f>
        <v>0.650443635587991</v>
      </c>
      <c r="P84" s="249" t="n">
        <f aca="false">O10</f>
        <v>1</v>
      </c>
      <c r="Q84" s="249" t="n">
        <f aca="false">O11</f>
        <v>3</v>
      </c>
      <c r="R84" s="252" t="n">
        <f aca="false">F21</f>
        <v>3.846</v>
      </c>
      <c r="S84" s="249" t="n">
        <f aca="false">K11</f>
        <v>0</v>
      </c>
      <c r="T84" s="249" t="n">
        <f aca="false">K12</f>
        <v>9</v>
      </c>
      <c r="U84" s="249" t="n">
        <f aca="false">K13</f>
        <v>1</v>
      </c>
      <c r="V84" s="253" t="n">
        <f aca="false">K14</f>
        <v>1</v>
      </c>
      <c r="W84" s="254" t="n">
        <f aca="false">K15</f>
        <v>8</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99</v>
      </c>
      <c r="Q86" s="8"/>
      <c r="R86" s="208"/>
      <c r="S86" s="8"/>
      <c r="T86" s="8"/>
      <c r="U86" s="8"/>
    </row>
    <row r="87" customFormat="false" ht="12.75" hidden="true" customHeight="false" outlineLevel="0" collapsed="false">
      <c r="P87" s="8" t="s">
        <v>100</v>
      </c>
      <c r="Q87" s="8"/>
      <c r="R87" s="208" t="n">
        <f aca="false">VLOOKUP(MAX($R$23:$R$82),($R$23:$T$82),1,0)</f>
        <v>20</v>
      </c>
      <c r="S87" s="8"/>
      <c r="T87" s="8"/>
      <c r="U87" s="8"/>
    </row>
    <row r="88" customFormat="false" ht="12.75" hidden="true" customHeight="false" outlineLevel="0" collapsed="false">
      <c r="P88" s="8" t="s">
        <v>101</v>
      </c>
      <c r="Q88" s="8"/>
      <c r="R88" s="208" t="n">
        <f aca="false">VLOOKUP((R87),($R$23:$T$82),2,0)</f>
        <v>20</v>
      </c>
      <c r="S88" s="8"/>
      <c r="T88" s="8"/>
      <c r="U88" s="8"/>
    </row>
    <row r="89" customFormat="false" ht="12.75" hidden="true" customHeight="false" outlineLevel="0" collapsed="false">
      <c r="P89" s="8" t="s">
        <v>102</v>
      </c>
      <c r="Q89" s="8"/>
      <c r="R89" s="208" t="n">
        <f aca="false">VLOOKUP((R87),($R$23:$T$82),3,0)</f>
        <v>2</v>
      </c>
      <c r="S89" s="8"/>
    </row>
    <row r="90" customFormat="false" ht="12.75" hidden="true" customHeight="false" outlineLevel="0" collapsed="false">
      <c r="P90" s="8" t="s">
        <v>103</v>
      </c>
      <c r="Q90" s="8"/>
      <c r="R90" s="256" t="n">
        <f aca="false">IF(ISERROR(SUM($S$23:$S$82)/SUM($T$23:$T$82)),"",(SUM($S$23:$S$82)-R88)/(SUM($T$23:$T$82)-R89))</f>
        <v>9.86363636363636</v>
      </c>
      <c r="S90" s="8"/>
    </row>
    <row r="91" customFormat="false" ht="12.75" hidden="true" customHeight="false" outlineLevel="0" collapsed="false">
      <c r="P91" s="207" t="s">
        <v>104</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105</v>
      </c>
      <c r="Q92" s="8"/>
      <c r="R92" s="8" t="n">
        <f aca="false">MATCH(R87,$R$23:$R$82,0)</f>
        <v>5</v>
      </c>
      <c r="S92" s="8"/>
    </row>
    <row r="93" customFormat="false" ht="12.75" hidden="true" customHeight="false" outlineLevel="0" collapsed="false">
      <c r="P93" s="207" t="s">
        <v>106</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2024-03-13T11:50:18Z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