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MORGE" sheetId="1" state="visible" r:id="rId3"/>
  </sheets>
  <externalReferences>
    <externalReference r:id="rId4"/>
  </externalReferences>
  <definedNames>
    <definedName function="false" hidden="false" localSheetId="0" name="_xlnm.Print_Area" vbProcedure="false">MORGE!$A$1:$O$81</definedName>
    <definedName function="false" hidden="false" localSheetId="0" name="Excel_BuiltIn__FilterDatabase" vbProcedure="false">MORGE!$A$23:$J$83</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16</xdr:colOff>
                <xdr:row>5</xdr:row>
                <xdr:rowOff>6</xdr:rowOff>
              </xdr:from>
              <xdr:to>
                <xdr:col>8</xdr:col>
                <xdr:colOff>4</xdr:colOff>
                <xdr:row>7</xdr:row>
                <xdr:rowOff>10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16</xdr:colOff>
                <xdr:row>5</xdr:row>
                <xdr:rowOff>6</xdr:rowOff>
              </xdr:from>
              <xdr:to>
                <xdr:col>10</xdr:col>
                <xdr:colOff>16</xdr:colOff>
                <xdr:row>7</xdr:row>
                <xdr:rowOff>10</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14</xdr:col>
                <xdr:colOff>66</xdr:colOff>
                <xdr:row>7</xdr:row>
                <xdr:rowOff>9</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2</xdr:rowOff>
              </xdr:from>
              <xdr:to>
                <xdr:col>14</xdr:col>
                <xdr:colOff>66</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12</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<sst xmlns="http://schemas.openxmlformats.org/spreadsheetml/2006/main" count="100" uniqueCount="96">
  <si>
    <t xml:space="preserve">Relevés floristiques aquatiques - IBMR</t>
  </si>
  <si>
    <t xml:space="preserve">GIS Macrophytes - juillet 2006</t>
  </si>
  <si>
    <t xml:space="preserve">ELEA</t>
  </si>
  <si>
    <t xml:space="preserve">A. Mignon et M.L. Wasier</t>
  </si>
  <si>
    <t xml:space="preserve">conforme AFNOR T90-395 oct. 2003</t>
  </si>
  <si>
    <t xml:space="preserve">MORGE</t>
  </si>
  <si>
    <t xml:space="preserve">Montcel</t>
  </si>
  <si>
    <t xml:space="preserve">04033300</t>
  </si>
  <si>
    <t xml:space="preserve">RCS Auvergne 08</t>
  </si>
  <si>
    <t xml:space="preserve">Résultats</t>
  </si>
  <si>
    <t xml:space="preserve">Robustesse:</t>
  </si>
  <si>
    <t xml:space="preserve">F. courant</t>
  </si>
  <si>
    <t xml:space="preserve">F. lent</t>
  </si>
  <si>
    <t xml:space="preserve">station</t>
  </si>
  <si>
    <t xml:space="preserve">IBMR:</t>
  </si>
  <si>
    <t xml:space="preserve">HIL.SPX</t>
  </si>
  <si>
    <t xml:space="preserve">Type de faciès</t>
  </si>
  <si>
    <t xml:space="preserve">pl. courant</t>
  </si>
  <si>
    <t xml:space="preserve">pl. lent</t>
  </si>
  <si>
    <t xml:space="preserve">niv. trophique:</t>
  </si>
  <si>
    <t xml:space="preserve">faible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</si>
  <si>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</si>
  <si>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</si>
  <si>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</si>
  <si>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</si>
  <si>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</si>
  <si>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</si>
  <si>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</si>
  <si>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</si>
  <si>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</si>
  <si>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</si>
  <si>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</si>
  <si>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</si>
  <si>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</si>
  <si>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</si>
  <si>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</si>
  <si>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</si>
  <si>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</si>
  <si>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</si>
  <si>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</si>
  <si>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</si>
  <si>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</si>
  <si>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</si>
  <si>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</si>
  <si>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</si>
  <si>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</si>
  <si>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</si>
  <si>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</si>
  <si>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</si>
  <si>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</si>
  <si>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</si>
  <si>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</si>
  <si>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</si>
  <si>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</si>
  <si>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</si>
  <si>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</si>
  <si>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</si>
  <si>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</si>
  <si>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</si>
  <si>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</si>
  <si>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</si>
  <si>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</si>
  <si>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</si>
  <si>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</si>
  <si>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</si>
  <si>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</si>
  <si>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</si>
  <si>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</si>
  <si>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</si>
  <si>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</si>
  <si>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</si>
  <si>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</si>
  <si>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</si>
  <si>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</si>
  <si>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</si>
  <si>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CLA.SPX</t>
  </si>
  <si>
    <t xml:space="preserve">LEA.SPX</t>
  </si>
  <si>
    <t xml:space="preserve">MEL.SPX</t>
  </si>
  <si>
    <t xml:space="preserve">OSC.SPX</t>
  </si>
  <si>
    <t xml:space="preserve">PHO.SPX</t>
  </si>
  <si>
    <t xml:space="preserve">AMB.FLU</t>
  </si>
  <si>
    <t xml:space="preserve">CHI.POL</t>
  </si>
  <si>
    <t xml:space="preserve">CIN.FON</t>
  </si>
  <si>
    <t xml:space="preserve">FIS.CRA</t>
  </si>
  <si>
    <t xml:space="preserve">FIS.RIV</t>
  </si>
  <si>
    <t xml:space="preserve">FON.ANT</t>
  </si>
  <si>
    <t xml:space="preserve">RHY.RIP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</si>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</sst>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s>
  <borders count="74">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9" borderId="15" xfId="0" applyFont="true" applyBorder="true" applyAlignment="true" applyProtection="true">
      <alignment horizontal="left" vertical="top" textRotation="0" wrapText="false" indent="0" shrinkToFit="false"/>
      <protection locked="true" hidden="true"/>
    </xf>
    <xf numFmtId="167" fontId="0" fillId="9"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9"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6" xfId="0" applyFont="true" applyBorder="true" applyAlignment="true" applyProtection="true">
      <alignment horizontal="general" vertical="bottom" textRotation="0" wrapText="false" indent="0" shrinkToFit="false"/>
      <protection locked="true" hidden="true"/>
    </xf>
    <xf numFmtId="168" fontId="25" fillId="6" borderId="66" xfId="0" applyFont="true" applyBorder="true" applyAlignment="true" applyProtection="true">
      <alignment horizontal="general" vertical="bottom" textRotation="0" wrapText="false" indent="0" shrinkToFit="false"/>
      <protection locked="true" hidden="true"/>
    </xf>
    <xf numFmtId="172" fontId="31" fillId="3" borderId="67" xfId="0" applyFont="true" applyBorder="true" applyAlignment="true" applyProtection="true">
      <alignment horizontal="center" vertical="bottom" textRotation="0" wrapText="false" indent="0" shrinkToFit="false"/>
      <protection locked="true" hidden="true"/>
    </xf>
    <xf numFmtId="172" fontId="10" fillId="8" borderId="67"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7" xfId="0" applyFont="true" applyBorder="true" applyAlignment="true" applyProtection="true">
      <alignment horizontal="left" vertical="bottom" textRotation="0" wrapText="false" indent="0" shrinkToFit="false"/>
      <protection locked="true" hidden="true"/>
    </xf>
    <xf numFmtId="164" fontId="0" fillId="6" borderId="67" xfId="0" applyFont="true" applyBorder="true" applyAlignment="true" applyProtection="true">
      <alignment horizontal="left" vertical="bottom" textRotation="0" wrapText="false" indent="0" shrinkToFit="false"/>
      <protection locked="true" hidden="true"/>
    </xf>
    <xf numFmtId="164" fontId="28" fillId="6" borderId="68"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7" fontId="0" fillId="5" borderId="68"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69" xfId="0" applyFont="true" applyBorder="true" applyAlignment="true" applyProtection="true">
      <alignment horizontal="general" vertical="bottom" textRotation="0" wrapText="false" indent="0" shrinkToFit="false"/>
      <protection locked="true" hidden="true"/>
    </xf>
    <xf numFmtId="172" fontId="10" fillId="8" borderId="70" xfId="0" applyFont="true" applyBorder="true" applyAlignment="true" applyProtection="true">
      <alignment horizontal="center" vertical="bottom" textRotation="0" wrapText="false" indent="0" shrinkToFit="false"/>
      <protection locked="true" hidden="true"/>
    </xf>
    <xf numFmtId="168" fontId="15" fillId="6" borderId="70" xfId="0" applyFont="true" applyBorder="true" applyAlignment="true" applyProtection="true">
      <alignment horizontal="left" vertical="bottom" textRotation="0" wrapText="false" indent="0" shrinkToFit="false"/>
      <protection locked="true" hidden="true"/>
    </xf>
    <xf numFmtId="164" fontId="0" fillId="6" borderId="70"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0" xfId="0" applyFont="false" applyBorder="true" applyAlignment="true" applyProtection="true">
      <alignment horizontal="general" vertical="bottom" textRotation="0" wrapText="false" indent="0" shrinkToFit="false"/>
      <protection locked="true" hidden="false"/>
    </xf>
    <xf numFmtId="164" fontId="28" fillId="6" borderId="68" xfId="0" applyFont="true" applyBorder="true" applyAlignment="true" applyProtection="true">
      <alignment horizontal="right" vertical="bottom" textRotation="0" wrapText="false" indent="0" shrinkToFit="false"/>
      <protection locked="true" hidden="false"/>
    </xf>
    <xf numFmtId="168" fontId="0" fillId="8" borderId="69"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1"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2" xfId="0" applyFont="true" applyBorder="true" applyAlignment="true" applyProtection="true">
      <alignment horizontal="general" vertical="bottom" textRotation="0" wrapText="false" indent="0" shrinkToFit="false"/>
      <protection locked="true" hidden="true"/>
    </xf>
    <xf numFmtId="164" fontId="25" fillId="6" borderId="72" xfId="0" applyFont="true" applyBorder="true" applyAlignment="true" applyProtection="true">
      <alignment horizontal="general" vertical="bottom" textRotation="0" wrapText="false" indent="0" shrinkToFit="false"/>
      <protection locked="true" hidden="true"/>
    </xf>
    <xf numFmtId="172" fontId="10" fillId="8" borderId="73" xfId="0" applyFont="true" applyBorder="true" applyAlignment="true" applyProtection="true">
      <alignment horizontal="center" vertical="bottom" textRotation="0" wrapText="false" indent="0" shrinkToFit="false"/>
      <protection locked="true" hidden="true"/>
    </xf>
    <xf numFmtId="164" fontId="15" fillId="6" borderId="73" xfId="0" applyFont="true" applyBorder="true" applyAlignment="true" applyProtection="true">
      <alignment horizontal="left" vertical="bottom" textRotation="0" wrapText="false" indent="0" shrinkToFit="false"/>
      <protection locked="true" hidden="true"/>
    </xf>
    <xf numFmtId="164" fontId="0" fillId="6" borderId="73" xfId="0" applyFont="false" applyBorder="true" applyAlignment="true" applyProtection="true">
      <alignment horizontal="general" vertical="bottom" textRotation="0" wrapText="false" indent="0" shrinkToFit="false"/>
      <protection locked="true" hidden="false"/>
    </xf>
    <xf numFmtId="164" fontId="28" fillId="6" borderId="71"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8_Mphyt_NOTE%20IBMR%20Auvergne%2008_partie2_ELE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DORDOGNE"/>
      <sheetName val="EAU MERE"/>
      <sheetName val="GERIZE"/>
      <sheetName val="JORDANNE"/>
      <sheetName val="LOIRE"/>
      <sheetName val="LE MARS"/>
      <sheetName val="MORGE"/>
      <sheetName val="MORTAGNE"/>
      <sheetName val="RANCE"/>
      <sheetName val="Rui ROCHE"/>
      <sheetName val="SAUNADE"/>
      <sheetName val="SIANNE"/>
      <sheetName val="SICHON"/>
      <sheetName val="VERONNE"/>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7"/>
    <col collapsed="false" customWidth="true" hidden="false" outlineLevel="0" max="14" min="14" style="1" width="8.84"/>
    <col collapsed="false" customWidth="true" hidden="false" outlineLevel="0" max="15" min="15" style="1" width="8.98"/>
    <col collapsed="false" customWidth="true" hidden="true" outlineLevel="0" max="17" min="16" style="1" width="8.67"/>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39644</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12.741935483871</v>
      </c>
      <c r="M5" s="51"/>
      <c r="N5" s="52" t="s">
        <v>15</v>
      </c>
      <c r="O5" s="53" t="n">
        <v>12.2</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72</v>
      </c>
      <c r="C7" s="65" t="n">
        <v>28</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AVERAGE(I23:I81)</f>
        <v>11.9230769230769</v>
      </c>
      <c r="O8" s="82" t="n">
        <f aca="false">AVERAGE(J23:J81)</f>
        <v>1.61538461538462</v>
      </c>
      <c r="P8" s="8"/>
      <c r="Q8" s="8"/>
      <c r="R8" s="8"/>
      <c r="S8" s="8"/>
      <c r="T8" s="8"/>
      <c r="U8" s="8"/>
      <c r="V8" s="20"/>
      <c r="W8" s="21"/>
    </row>
    <row r="9" customFormat="false" ht="12.75" hidden="false" customHeight="false" outlineLevel="0" collapsed="false">
      <c r="A9" s="83" t="s">
        <v>28</v>
      </c>
      <c r="B9" s="84" t="n">
        <v>4.7</v>
      </c>
      <c r="C9" s="85" t="n">
        <v>0.4</v>
      </c>
      <c r="D9" s="86"/>
      <c r="E9" s="86"/>
      <c r="F9" s="87" t="n">
        <f aca="false">($B9*$B$7+$C9*$C$7)/100</f>
        <v>3.496</v>
      </c>
      <c r="G9" s="88"/>
      <c r="H9" s="89"/>
      <c r="I9" s="90"/>
      <c r="J9" s="91"/>
      <c r="K9" s="71"/>
      <c r="L9" s="92"/>
      <c r="M9" s="80" t="s">
        <v>29</v>
      </c>
      <c r="N9" s="81" t="n">
        <f aca="false">STDEV(I23:I81)</f>
        <v>2.49871761981816</v>
      </c>
      <c r="O9" s="82" t="n">
        <f aca="false">STDEV(J23:J81)</f>
        <v>0.506369683541833</v>
      </c>
      <c r="P9" s="8"/>
      <c r="Q9" s="8"/>
      <c r="R9" s="8"/>
      <c r="S9" s="8"/>
      <c r="T9" s="8"/>
      <c r="U9" s="8"/>
      <c r="V9" s="93"/>
      <c r="W9" s="94"/>
    </row>
    <row r="10" customFormat="false" ht="12.75" hidden="false" customHeight="false" outlineLevel="0" collapsed="false">
      <c r="A10" s="95" t="s">
        <v>30</v>
      </c>
      <c r="B10" s="96"/>
      <c r="C10" s="97" t="n">
        <v>0.1</v>
      </c>
      <c r="D10" s="98"/>
      <c r="E10" s="98"/>
      <c r="F10" s="87" t="n">
        <f aca="false">($B10*$B$7+$C10*$C$7)/100</f>
        <v>0.028</v>
      </c>
      <c r="G10" s="88"/>
      <c r="H10" s="99"/>
      <c r="I10" s="100"/>
      <c r="J10" s="101" t="s">
        <v>31</v>
      </c>
      <c r="K10" s="101"/>
      <c r="L10" s="102"/>
      <c r="M10" s="103" t="s">
        <v>32</v>
      </c>
      <c r="N10" s="104" t="n">
        <f aca="false">MIN(I23:I81)</f>
        <v>6</v>
      </c>
      <c r="O10" s="105" t="n">
        <f aca="false">MIN(J23:J81)</f>
        <v>1</v>
      </c>
      <c r="P10" s="8"/>
      <c r="Q10" s="8"/>
      <c r="R10" s="8"/>
      <c r="S10" s="8"/>
      <c r="T10" s="8"/>
      <c r="U10" s="8"/>
    </row>
    <row r="11" customFormat="false" ht="12.75" hidden="false" customHeight="false" outlineLevel="0" collapsed="false">
      <c r="A11" s="106" t="s">
        <v>33</v>
      </c>
      <c r="B11" s="107"/>
      <c r="C11" s="108"/>
      <c r="D11" s="109"/>
      <c r="E11" s="109"/>
      <c r="F11" s="110" t="n">
        <f aca="false">($B11*$B$7+$C11*$C$7)/100</f>
        <v>0</v>
      </c>
      <c r="G11" s="111"/>
      <c r="H11" s="66"/>
      <c r="I11" s="112" t="s">
        <v>34</v>
      </c>
      <c r="J11" s="112"/>
      <c r="K11" s="113" t="n">
        <f aca="false">COUNTIF($G$23:$G$81,"=HET")</f>
        <v>0</v>
      </c>
      <c r="L11" s="114"/>
      <c r="M11" s="103" t="s">
        <v>35</v>
      </c>
      <c r="N11" s="104" t="n">
        <f aca="false">MAX(I23:I81)</f>
        <v>15</v>
      </c>
      <c r="O11" s="105" t="n">
        <f aca="false">MAX(J23:J81)</f>
        <v>2</v>
      </c>
      <c r="P11" s="8"/>
      <c r="Q11" s="8"/>
      <c r="R11" s="8"/>
      <c r="S11" s="8"/>
      <c r="T11" s="8"/>
      <c r="U11" s="8"/>
    </row>
    <row r="12" customFormat="false" ht="12.75" hidden="false" customHeight="false" outlineLevel="0" collapsed="false">
      <c r="A12" s="115" t="s">
        <v>36</v>
      </c>
      <c r="B12" s="116" t="n">
        <v>3.52</v>
      </c>
      <c r="C12" s="117" t="n">
        <v>0.4</v>
      </c>
      <c r="D12" s="109"/>
      <c r="E12" s="109"/>
      <c r="F12" s="110" t="n">
        <f aca="false">($B12*$B$7+$C12*$C$7)/100</f>
        <v>2.6464</v>
      </c>
      <c r="G12" s="118"/>
      <c r="H12" s="66"/>
      <c r="I12" s="119" t="s">
        <v>37</v>
      </c>
      <c r="J12" s="119"/>
      <c r="K12" s="113" t="n">
        <f aca="false">COUNTIF($G$23:$G$81,"=ALG")</f>
        <v>7</v>
      </c>
      <c r="L12" s="120"/>
      <c r="M12" s="121"/>
      <c r="N12" s="122" t="s">
        <v>31</v>
      </c>
      <c r="O12" s="123"/>
      <c r="P12" s="8"/>
      <c r="Q12" s="8"/>
      <c r="R12" s="8"/>
      <c r="S12" s="8"/>
      <c r="T12" s="8"/>
      <c r="U12" s="8"/>
    </row>
    <row r="13" customFormat="false" ht="12.75" hidden="false" customHeight="false" outlineLevel="0" collapsed="false">
      <c r="A13" s="115" t="s">
        <v>38</v>
      </c>
      <c r="B13" s="116" t="n">
        <v>1.2</v>
      </c>
      <c r="C13" s="117"/>
      <c r="D13" s="109"/>
      <c r="E13" s="109"/>
      <c r="F13" s="110" t="n">
        <f aca="false">($B13*$B$7+$C13*$C$7)/100</f>
        <v>0.864</v>
      </c>
      <c r="G13" s="118"/>
      <c r="H13" s="66"/>
      <c r="I13" s="119" t="s">
        <v>39</v>
      </c>
      <c r="J13" s="119"/>
      <c r="K13" s="113" t="n">
        <f aca="false">COUNTIF($G$23:$G$81,"=BRm")+COUNTIF($G$23:$G$81,"=BRh")</f>
        <v>7</v>
      </c>
      <c r="L13" s="114"/>
      <c r="M13" s="124" t="s">
        <v>40</v>
      </c>
      <c r="N13" s="125" t="n">
        <f aca="false">COUNTIF(F23:F81,"&gt;0")</f>
        <v>14</v>
      </c>
      <c r="O13" s="126"/>
      <c r="P13" s="8"/>
      <c r="Q13" s="8"/>
      <c r="R13" s="8"/>
      <c r="S13" s="8"/>
      <c r="T13" s="8"/>
      <c r="U13" s="8"/>
    </row>
    <row r="14" customFormat="false" ht="12.75" hidden="false" customHeight="false" outlineLevel="0" collapsed="false">
      <c r="A14" s="115" t="s">
        <v>41</v>
      </c>
      <c r="B14" s="116"/>
      <c r="C14" s="117"/>
      <c r="D14" s="109"/>
      <c r="E14" s="109"/>
      <c r="F14" s="110" t="n">
        <f aca="false">($B14*$B$7+$C14*$C$7)/100</f>
        <v>0</v>
      </c>
      <c r="G14" s="118"/>
      <c r="H14" s="66"/>
      <c r="I14" s="119" t="s">
        <v>42</v>
      </c>
      <c r="J14" s="119"/>
      <c r="K14" s="113" t="n">
        <f aca="false">COUNTIF($G$23:$G$81,"=PTE")</f>
        <v>0</v>
      </c>
      <c r="L14" s="114"/>
      <c r="M14" s="127" t="s">
        <v>43</v>
      </c>
      <c r="N14" s="128" t="n">
        <f aca="false">COUNTIF($I$23:$I$81,"&gt;-1")</f>
        <v>13</v>
      </c>
      <c r="O14" s="129"/>
      <c r="P14" s="8"/>
      <c r="Q14" s="8"/>
      <c r="R14" s="8"/>
      <c r="S14" s="8"/>
      <c r="T14" s="8"/>
      <c r="U14" s="8"/>
    </row>
    <row r="15" customFormat="false" ht="12.75" hidden="false" customHeight="false" outlineLevel="0" collapsed="false">
      <c r="A15" s="130" t="s">
        <v>44</v>
      </c>
      <c r="B15" s="131"/>
      <c r="C15" s="132"/>
      <c r="D15" s="109"/>
      <c r="E15" s="109"/>
      <c r="F15" s="110" t="n">
        <f aca="false">($B15*$B$7+$C15*$C$7)/100</f>
        <v>0</v>
      </c>
      <c r="G15" s="118"/>
      <c r="H15" s="66"/>
      <c r="I15" s="119" t="s">
        <v>45</v>
      </c>
      <c r="J15" s="119"/>
      <c r="K15" s="113" t="n">
        <f aca="false">(COUNTIF($G$23:$G$81,"=PHy"))+(COUNTIF($G$23:$G$81,"=PHe"))+(COUNTIF($G$23:$G$81,"=PHg"))+(COUNTIF($G$23:$G$81,"=PHx"))</f>
        <v>0</v>
      </c>
      <c r="L15" s="114"/>
      <c r="M15" s="133" t="s">
        <v>46</v>
      </c>
      <c r="N15" s="134" t="n">
        <f aca="false">COUNTIF(J23:J81,"=1")</f>
        <v>5</v>
      </c>
      <c r="O15" s="135"/>
      <c r="P15" s="8"/>
      <c r="Q15" s="8"/>
      <c r="R15" s="8"/>
      <c r="S15" s="8"/>
      <c r="T15" s="8"/>
      <c r="U15" s="8"/>
    </row>
    <row r="16" customFormat="false" ht="12.75" hidden="false" customHeight="false" outlineLevel="0" collapsed="false">
      <c r="A16" s="106" t="s">
        <v>47</v>
      </c>
      <c r="B16" s="107"/>
      <c r="C16" s="108"/>
      <c r="D16" s="136"/>
      <c r="E16" s="136"/>
      <c r="F16" s="137"/>
      <c r="G16" s="137" t="n">
        <f aca="false">($B16*$B$7+$C16*$C$7)/100</f>
        <v>0</v>
      </c>
      <c r="H16" s="66"/>
      <c r="I16" s="119"/>
      <c r="J16" s="138"/>
      <c r="K16" s="138"/>
      <c r="L16" s="114"/>
      <c r="M16" s="133" t="s">
        <v>48</v>
      </c>
      <c r="N16" s="134" t="n">
        <f aca="false">COUNTIF(J23:J81,"=2")</f>
        <v>8</v>
      </c>
      <c r="O16" s="135"/>
      <c r="P16" s="8"/>
      <c r="Q16" s="8"/>
      <c r="R16" s="8"/>
      <c r="S16" s="8"/>
      <c r="T16" s="8"/>
      <c r="U16" s="8"/>
    </row>
    <row r="17" customFormat="false" ht="12.75" hidden="false" customHeight="false" outlineLevel="0" collapsed="false">
      <c r="A17" s="115" t="s">
        <v>49</v>
      </c>
      <c r="B17" s="116" t="n">
        <v>4.72</v>
      </c>
      <c r="C17" s="117" t="n">
        <v>0.4</v>
      </c>
      <c r="D17" s="109"/>
      <c r="E17" s="109"/>
      <c r="F17" s="139"/>
      <c r="G17" s="110" t="n">
        <f aca="false">($B17*$B$7+$C17*$C$7)/100</f>
        <v>3.5104</v>
      </c>
      <c r="H17" s="66"/>
      <c r="I17" s="119"/>
      <c r="J17" s="119"/>
      <c r="K17" s="138"/>
      <c r="L17" s="114"/>
      <c r="M17" s="133" t="s">
        <v>50</v>
      </c>
      <c r="N17" s="134" t="n">
        <f aca="false">COUNTIF(J23:J81,"=3")</f>
        <v>0</v>
      </c>
      <c r="O17" s="135"/>
      <c r="P17" s="8"/>
      <c r="Q17" s="8"/>
      <c r="R17" s="8"/>
      <c r="S17" s="8"/>
      <c r="T17" s="8"/>
      <c r="U17" s="8"/>
    </row>
    <row r="18" customFormat="false" ht="12.75" hidden="false" customHeight="false" outlineLevel="0" collapsed="false">
      <c r="A18" s="140" t="s">
        <v>51</v>
      </c>
      <c r="B18" s="141"/>
      <c r="C18" s="142"/>
      <c r="D18" s="109"/>
      <c r="E18" s="143" t="s">
        <v>52</v>
      </c>
      <c r="F18" s="139"/>
      <c r="G18" s="110" t="n">
        <f aca="false">($B18*$B$7+$C18*$C$7)/100</f>
        <v>0</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3.5104</v>
      </c>
      <c r="G19" s="151" t="n">
        <f aca="false">SUM(G16:G18)</f>
        <v>3.5104</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53</v>
      </c>
      <c r="B20" s="159" t="n">
        <f aca="false">SUM(B23:B81)</f>
        <v>4.72</v>
      </c>
      <c r="C20" s="160" t="n">
        <f aca="false">SUM(C23:C81)</f>
        <v>0.4</v>
      </c>
      <c r="D20" s="161"/>
      <c r="E20" s="162" t="s">
        <v>52</v>
      </c>
      <c r="F20" s="163" t="n">
        <f aca="false">($B20*$B$7+$C20*$C$7)/100</f>
        <v>3.5104</v>
      </c>
      <c r="G20" s="164"/>
      <c r="H20" s="165"/>
      <c r="I20" s="166"/>
      <c r="J20" s="166"/>
      <c r="K20" s="167"/>
      <c r="L20" s="45"/>
      <c r="M20" s="168"/>
      <c r="N20" s="168"/>
      <c r="O20" s="169"/>
      <c r="P20" s="170" t="s">
        <v>54</v>
      </c>
      <c r="Q20" s="8"/>
      <c r="R20" s="8"/>
      <c r="S20" s="8"/>
      <c r="T20" s="8"/>
      <c r="U20" s="8"/>
      <c r="V20" s="145"/>
    </row>
    <row r="21" customFormat="false" ht="12.75" hidden="false" customHeight="false" outlineLevel="0" collapsed="false">
      <c r="A21" s="171" t="s">
        <v>55</v>
      </c>
      <c r="B21" s="172" t="n">
        <f aca="false">B20*B7/100</f>
        <v>3.3984</v>
      </c>
      <c r="C21" s="172" t="n">
        <f aca="false">C20*C7/100</f>
        <v>0.112</v>
      </c>
      <c r="D21" s="109" t="str">
        <f aca="false">IF(F21=0,"",IF((ABS(F21-F19))&gt;(0.2*F21),CONCATENATE(" rec. par taxa (",F21," %) supérieur à 20 % !"),""))</f>
        <v/>
      </c>
      <c r="E21" s="173" t="str">
        <f aca="false">IF(F21=0,"",IF((ABS(F21-F19))&gt;(0.2*F21),CONCATENATE("ATTENTION : écart entre rec. par grp (",F19," %) ","et",""),""))</f>
        <v/>
      </c>
      <c r="F21" s="174" t="n">
        <f aca="false">B21+C21</f>
        <v>3.5104</v>
      </c>
      <c r="G21" s="175"/>
      <c r="H21" s="109"/>
      <c r="I21" s="176"/>
      <c r="J21" s="176"/>
      <c r="K21" s="177"/>
      <c r="L21" s="177"/>
      <c r="M21" s="178"/>
      <c r="N21" s="178"/>
      <c r="O21" s="179"/>
      <c r="P21" s="180" t="s">
        <v>56</v>
      </c>
      <c r="Q21" s="8"/>
      <c r="R21" s="8"/>
      <c r="S21" s="8"/>
      <c r="T21" s="8"/>
      <c r="U21" s="8"/>
      <c r="V21" s="145"/>
    </row>
    <row r="22" customFormat="false" ht="12.75"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75" hidden="false" customHeight="false" outlineLevel="0" collapsed="false">
      <c r="A23" s="194" t="s">
        <v>74</v>
      </c>
      <c r="B23" s="195" t="n">
        <v>0.02</v>
      </c>
      <c r="C23" s="196"/>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0.0144</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0.0144</v>
      </c>
      <c r="Q23" s="207" t="n">
        <f aca="false">IF(OR(ISTEXT(H23),P23=0),"",IF(P23&lt;0.1,1,IF(P23&lt;1,2,IF(P23&lt;10,3,IF(P23&lt;50,4,IF(P23&gt;=50,5,""))))))</f>
        <v>1</v>
      </c>
      <c r="R23" s="207" t="n">
        <f aca="false">IF(ISERROR(Q23*I23),0,Q23*I23)</f>
        <v>13</v>
      </c>
      <c r="S23" s="207" t="n">
        <f aca="false">IF(ISERROR(Q23*I23*J23),0,Q23*I23*J23)</f>
        <v>26</v>
      </c>
      <c r="T23" s="207" t="n">
        <f aca="false">IF(ISERROR(Q23*J23),0,Q23*J23)</f>
        <v>2</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75" hidden="false" customHeight="false" outlineLevel="0" collapsed="false">
      <c r="A24" s="194" t="s">
        <v>75</v>
      </c>
      <c r="B24" s="212" t="n">
        <v>0.8</v>
      </c>
      <c r="C24" s="213" t="n">
        <v>0.1</v>
      </c>
      <c r="D24" s="214" t="str">
        <f aca="false">IF(ISERROR(VLOOKUP($A24,'[1]liste reference'!$A$7:$D$906,2,0)),IF(ISERROR(VLOOKUP($A24,'[1]liste reference'!$B$7:$D$906,1,0)),"",VLOOKUP($A24,'[1]liste reference'!$B$7:$D$906,1,0)),VLOOKUP($A24,'[1]liste reference'!$A$7:$D$906,2,0))</f>
        <v>Cladophora sp. </v>
      </c>
      <c r="E24" s="214" t="e">
        <f aca="false">IF(D24="",0,VLOOKUP(D24,D$22:D23,1,0))</f>
        <v>#N/A</v>
      </c>
      <c r="F24" s="215" t="n">
        <f aca="false">($B24*$B$7+$C24*$C$7)/100</f>
        <v>0.604</v>
      </c>
      <c r="G24" s="216"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7" t="n">
        <f aca="false">IF(ISNUMBER(H24),IF(ISERROR(VLOOKUP($A24,'[1]liste reference'!$A$7:$P$906,3,0)),IF(ISERROR(VLOOKUP($A24,'[1]liste reference'!$B$7:$P$906,2,0)),"",VLOOKUP($A24,'[1]liste reference'!$B$7:$P$906,2,0)),VLOOKUP($A24,'[1]liste reference'!$A$7:$P$906,3,0)),"")</f>
        <v>6</v>
      </c>
      <c r="J24" s="202" t="n">
        <f aca="false">IF(ISNUMBER(H24),IF(ISERROR(VLOOKUP($A24,'[1]liste reference'!$A$7:$P$906,4,0)),IF(ISERROR(VLOOKUP($A24,'[1]liste reference'!$B$7:$P$906,3,0)),"",VLOOKUP($A24,'[1]liste reference'!$B$7:$P$906,3,0)),VLOOKUP($A24,'[1]liste reference'!$A$7:$P$906,4,0)),"")</f>
        <v>1</v>
      </c>
      <c r="K24" s="218" t="str">
        <f aca="false">IF(A24="NEW.COD",AA24,IF(ISTEXT($E24),"DEJA SAISI !",IF(A24="","",IF(ISERROR(VLOOKUP($A24,'[1]liste reference'!$A$7:$D$906,2,0)),IF(ISERROR(VLOOKUP($A24,'[1]liste reference'!$B$7:$D$906,1,0)),"code non répertorié ou synonyme",VLOOKUP($A24,'[1]liste reference'!$B$7:$D$906,1,0)),VLOOKUP(A24,'[1]liste reference'!$A$7:$D$906,2,0)))))</f>
        <v>Cladophora sp. </v>
      </c>
      <c r="L24" s="219"/>
      <c r="M24" s="219"/>
      <c r="N24" s="219"/>
      <c r="O24" s="205"/>
      <c r="P24" s="206" t="n">
        <f aca="false">IF(ISTEXT(H24),"",(B24*$B$7/100)+(C24*$C$7/100))</f>
        <v>0.604</v>
      </c>
      <c r="Q24" s="207" t="n">
        <f aca="false">IF(OR(ISTEXT(H24),P24=0),"",IF(P24&lt;0.1,1,IF(P24&lt;1,2,IF(P24&lt;10,3,IF(P24&lt;50,4,IF(P24&gt;=50,5,""))))))</f>
        <v>2</v>
      </c>
      <c r="R24" s="207" t="n">
        <f aca="false">IF(ISERROR(Q24*I24),0,Q24*I24)</f>
        <v>12</v>
      </c>
      <c r="S24" s="207" t="n">
        <f aca="false">IF(ISERROR(Q24*I24*J24),0,Q24*I24*J24)</f>
        <v>12</v>
      </c>
      <c r="T24" s="220" t="n">
        <f aca="false">IF(ISERROR(Q24*J24),0,Q24*J24)</f>
        <v>2</v>
      </c>
      <c r="U24" s="208" t="str">
        <f aca="false">IF(AND(A24="",F24=0),"",IF(F24=0,"Il manque le(s) % de rec. !",""))</f>
        <v/>
      </c>
      <c r="V24" s="209"/>
      <c r="X24" s="207" t="str">
        <f aca="false">IF(A24="new.cod","NEW.COD",IF(AND((Y24=""),ISTEXT(A24)),A24,IF(Y24="","",INDEX('[1]liste reference'!$A$7:$A$906,Y24))))</f>
        <v>CLA.SPX</v>
      </c>
      <c r="Y24" s="8" t="n">
        <f aca="false">IF(ISERROR(MATCH(A24,'[1]liste reference'!$A$7:$A$906,0)),IF(ISERROR(MATCH(A24,'[1]liste reference'!$B$7:$B$906,0)),"",(MATCH(A24,'[1]liste reference'!$B$7:$B$906,0))),(MATCH(A24,'[1]liste reference'!$A$7:$A$906,0)))</f>
        <v>24</v>
      </c>
      <c r="Z24" s="210"/>
      <c r="AA24" s="211"/>
      <c r="BB24" s="8" t="n">
        <f aca="false">IF(A24="","",1)</f>
        <v>1</v>
      </c>
    </row>
    <row r="25" customFormat="false" ht="12.75" hidden="false" customHeight="false" outlineLevel="0" collapsed="false">
      <c r="A25" s="194" t="s">
        <v>15</v>
      </c>
      <c r="B25" s="212" t="n">
        <v>2</v>
      </c>
      <c r="C25" s="213" t="n">
        <v>0.02</v>
      </c>
      <c r="D25" s="214" t="str">
        <f aca="false">IF(ISERROR(VLOOKUP($A25,'[1]liste reference'!$A$7:$D$906,2,0)),IF(ISERROR(VLOOKUP($A25,'[1]liste reference'!$B$7:$D$906,1,0)),"",VLOOKUP($A25,'[1]liste reference'!$B$7:$D$906,1,0)),VLOOKUP($A25,'[1]liste reference'!$A$7:$D$906,2,0))</f>
        <v>Hildenbrandia rivularis</v>
      </c>
      <c r="E25" s="214" t="e">
        <f aca="false">IF(D25="",0,VLOOKUP(D25,D$22:D24,1,0))</f>
        <v>#N/A</v>
      </c>
      <c r="F25" s="215" t="n">
        <f aca="false">($B25*$B$7+$C25*$C$7)/100</f>
        <v>1.4456</v>
      </c>
      <c r="G25" s="216"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7" t="n">
        <f aca="false">IF(ISNUMBER(H25),IF(ISERROR(VLOOKUP($A25,'[1]liste reference'!$A$7:$P$906,3,0)),IF(ISERROR(VLOOKUP($A25,'[1]liste reference'!$B$7:$P$906,2,0)),"",VLOOKUP($A25,'[1]liste reference'!$B$7:$P$906,2,0)),VLOOKUP($A25,'[1]liste reference'!$A$7:$P$906,3,0)),"")</f>
        <v>15</v>
      </c>
      <c r="J25" s="202" t="n">
        <f aca="false">IF(ISNUMBER(H25),IF(ISERROR(VLOOKUP($A25,'[1]liste reference'!$A$7:$P$906,4,0)),IF(ISERROR(VLOOKUP($A25,'[1]liste reference'!$B$7:$P$906,3,0)),"",VLOOKUP($A25,'[1]liste reference'!$B$7:$P$906,3,0)),VLOOKUP($A25,'[1]liste reference'!$A$7:$P$906,4,0)),"")</f>
        <v>2</v>
      </c>
      <c r="K25" s="218" t="str">
        <f aca="false">IF(A25="NEW.COD",AA25,IF(ISTEXT($E25),"DEJA SAISI !",IF(A25="","",IF(ISERROR(VLOOKUP($A25,'[1]liste reference'!$A$7:$D$906,2,0)),IF(ISERROR(VLOOKUP($A25,'[1]liste reference'!$B$7:$D$906,1,0)),"code non répertorié ou synonyme",VLOOKUP($A25,'[1]liste reference'!$B$7:$D$906,1,0)),VLOOKUP(A25,'[1]liste reference'!$A$7:$D$906,2,0)))))</f>
        <v>Hildenbrandia rivularis</v>
      </c>
      <c r="L25" s="219"/>
      <c r="M25" s="219"/>
      <c r="N25" s="219"/>
      <c r="O25" s="205"/>
      <c r="P25" s="206" t="n">
        <f aca="false">IF(ISTEXT(H25),"",(B25*$B$7/100)+(C25*$C$7/100))</f>
        <v>1.4456</v>
      </c>
      <c r="Q25" s="207" t="n">
        <f aca="false">IF(OR(ISTEXT(H25),P25=0),"",IF(P25&lt;0.1,1,IF(P25&lt;1,2,IF(P25&lt;10,3,IF(P25&lt;50,4,IF(P25&gt;=50,5,""))))))</f>
        <v>3</v>
      </c>
      <c r="R25" s="207" t="n">
        <f aca="false">IF(ISERROR(Q25*I25),0,Q25*I25)</f>
        <v>45</v>
      </c>
      <c r="S25" s="207" t="n">
        <f aca="false">IF(ISERROR(Q25*I25*J25),0,Q25*I25*J25)</f>
        <v>90</v>
      </c>
      <c r="T25" s="220" t="n">
        <f aca="false">IF(ISERROR(Q25*J25),0,Q25*J25)</f>
        <v>6</v>
      </c>
      <c r="U25" s="208" t="str">
        <f aca="false">IF(AND(A25="",F25=0),"",IF(F25=0,"Il manque le(s) % de rec. !",""))</f>
        <v/>
      </c>
      <c r="V25" s="209"/>
      <c r="X25" s="207" t="str">
        <f aca="false">IF(A25="new.cod","NEW.COD",IF(AND((Y25=""),ISTEXT(A25)),A25,IF(Y25="","",INDEX('[1]liste reference'!$A$7:$A$906,Y25))))</f>
        <v>HIL.SPX</v>
      </c>
      <c r="Y25" s="8" t="n">
        <f aca="false">IF(ISERROR(MATCH(A25,'[1]liste reference'!$A$7:$A$906,0)),IF(ISERROR(MATCH(A25,'[1]liste reference'!$B$7:$B$906,0)),"",(MATCH(A25,'[1]liste reference'!$B$7:$B$906,0))),(MATCH(A25,'[1]liste reference'!$A$7:$A$906,0)))</f>
        <v>31</v>
      </c>
      <c r="Z25" s="210"/>
      <c r="AA25" s="211"/>
      <c r="BB25" s="8" t="n">
        <f aca="false">IF(A25="","",1)</f>
        <v>1</v>
      </c>
    </row>
    <row r="26" customFormat="false" ht="12.75" hidden="false" customHeight="false" outlineLevel="0" collapsed="false">
      <c r="A26" s="194" t="s">
        <v>76</v>
      </c>
      <c r="B26" s="212" t="n">
        <v>0.5</v>
      </c>
      <c r="C26" s="213" t="n">
        <v>0.05</v>
      </c>
      <c r="D26" s="214" t="str">
        <f aca="false">IF(ISERROR(VLOOKUP($A26,'[1]liste reference'!$A$7:$D$906,2,0)),IF(ISERROR(VLOOKUP($A26,'[1]liste reference'!$B$7:$D$906,1,0)),"",VLOOKUP($A26,'[1]liste reference'!$B$7:$D$906,1,0)),VLOOKUP($A26,'[1]liste reference'!$A$7:$D$906,2,0))</f>
        <v>Lemanea gr. fluviatilis</v>
      </c>
      <c r="E26" s="214" t="e">
        <f aca="false">IF(D26="",0,VLOOKUP(D26,D$22:D25,1,0))</f>
        <v>#N/A</v>
      </c>
      <c r="F26" s="215" t="n">
        <f aca="false">($B26*$B$7+$C26*$C$7)/100</f>
        <v>0.374</v>
      </c>
      <c r="G26" s="216"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7" t="n">
        <f aca="false">IF(ISNUMBER(H26),IF(ISERROR(VLOOKUP($A26,'[1]liste reference'!$A$7:$P$906,3,0)),IF(ISERROR(VLOOKUP($A26,'[1]liste reference'!$B$7:$P$906,2,0)),"",VLOOKUP($A26,'[1]liste reference'!$B$7:$P$906,2,0)),VLOOKUP($A26,'[1]liste reference'!$A$7:$P$906,3,0)),"")</f>
        <v>15</v>
      </c>
      <c r="J26" s="202" t="n">
        <f aca="false">IF(ISNUMBER(H26),IF(ISERROR(VLOOKUP($A26,'[1]liste reference'!$A$7:$P$906,4,0)),IF(ISERROR(VLOOKUP($A26,'[1]liste reference'!$B$7:$P$906,3,0)),"",VLOOKUP($A26,'[1]liste reference'!$B$7:$P$906,3,0)),VLOOKUP($A26,'[1]liste reference'!$A$7:$P$906,4,0)),"")</f>
        <v>2</v>
      </c>
      <c r="K26" s="218" t="str">
        <f aca="false">IF(A26="NEW.COD",AA26,IF(ISTEXT($E26),"DEJA SAISI !",IF(A26="","",IF(ISERROR(VLOOKUP($A26,'[1]liste reference'!$A$7:$D$906,2,0)),IF(ISERROR(VLOOKUP($A26,'[1]liste reference'!$B$7:$D$906,1,0)),"code non répertorié ou synonyme",VLOOKUP($A26,'[1]liste reference'!$B$7:$D$906,1,0)),VLOOKUP(A26,'[1]liste reference'!$A$7:$D$906,2,0)))))</f>
        <v>Lemanea gr. fluviatilis</v>
      </c>
      <c r="L26" s="219"/>
      <c r="M26" s="219"/>
      <c r="N26" s="219"/>
      <c r="O26" s="205"/>
      <c r="P26" s="206" t="n">
        <f aca="false">IF(ISTEXT(H26),"",(B26*$B$7/100)+(C26*$C$7/100))</f>
        <v>0.374</v>
      </c>
      <c r="Q26" s="207" t="n">
        <f aca="false">IF(OR(ISTEXT(H26),P26=0),"",IF(P26&lt;0.1,1,IF(P26&lt;1,2,IF(P26&lt;10,3,IF(P26&lt;50,4,IF(P26&gt;=50,5,""))))))</f>
        <v>2</v>
      </c>
      <c r="R26" s="207" t="n">
        <f aca="false">IF(ISERROR(Q26*I26),0,Q26*I26)</f>
        <v>30</v>
      </c>
      <c r="S26" s="207" t="n">
        <f aca="false">IF(ISERROR(Q26*I26*J26),0,Q26*I26*J26)</f>
        <v>60</v>
      </c>
      <c r="T26" s="220" t="n">
        <f aca="false">IF(ISERROR(Q26*J26),0,Q26*J26)</f>
        <v>4</v>
      </c>
      <c r="U26" s="208" t="str">
        <f aca="false">IF(AND(A26="",F26=0),"",IF(F26=0,"Il manque le(s) % de rec. !",""))</f>
        <v/>
      </c>
      <c r="V26" s="209"/>
      <c r="X26" s="207" t="str">
        <f aca="false">IF(A26="new.cod","NEW.COD",IF(AND((Y26=""),ISTEXT(A26)),A26,IF(Y26="","",INDEX('[1]liste reference'!$A$7:$A$906,Y26))))</f>
        <v>LEA.SPX</v>
      </c>
      <c r="Y26" s="8" t="n">
        <f aca="false">IF(ISERROR(MATCH(A26,'[1]liste reference'!$A$7:$A$906,0)),IF(ISERROR(MATCH(A26,'[1]liste reference'!$B$7:$B$906,0)),"",(MATCH(A26,'[1]liste reference'!$B$7:$B$906,0))),(MATCH(A26,'[1]liste reference'!$A$7:$A$906,0)))</f>
        <v>35</v>
      </c>
      <c r="Z26" s="210"/>
      <c r="AA26" s="211"/>
      <c r="BB26" s="8" t="n">
        <f aca="false">IF(A26="","",1)</f>
        <v>1</v>
      </c>
    </row>
    <row r="27" customFormat="false" ht="12.75" hidden="false" customHeight="false" outlineLevel="0" collapsed="false">
      <c r="A27" s="194" t="s">
        <v>77</v>
      </c>
      <c r="B27" s="212"/>
      <c r="C27" s="213" t="n">
        <v>0.1</v>
      </c>
      <c r="D27" s="214" t="str">
        <f aca="false">IF(ISERROR(VLOOKUP($A27,'[1]liste reference'!$A$7:$D$906,2,0)),IF(ISERROR(VLOOKUP($A27,'[1]liste reference'!$B$7:$D$906,1,0)),"",VLOOKUP($A27,'[1]liste reference'!$B$7:$D$906,1,0)),VLOOKUP($A27,'[1]liste reference'!$A$7:$D$906,2,0))</f>
        <v>Melosira sp.</v>
      </c>
      <c r="E27" s="214" t="e">
        <f aca="false">IF(D27="",0,VLOOKUP(D27,D$22:D26,1,0))</f>
        <v>#N/A</v>
      </c>
      <c r="F27" s="215" t="n">
        <f aca="false">($B27*$B$7+$C27*$C$7)/100</f>
        <v>0.028</v>
      </c>
      <c r="G27" s="216"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7" t="n">
        <f aca="false">IF(ISNUMBER(H27),IF(ISERROR(VLOOKUP($A27,'[1]liste reference'!$A$7:$P$906,3,0)),IF(ISERROR(VLOOKUP($A27,'[1]liste reference'!$B$7:$P$906,2,0)),"",VLOOKUP($A27,'[1]liste reference'!$B$7:$P$906,2,0)),VLOOKUP($A27,'[1]liste reference'!$A$7:$P$906,3,0)),"")</f>
        <v>10</v>
      </c>
      <c r="J27" s="202" t="n">
        <f aca="false">IF(ISNUMBER(H27),IF(ISERROR(VLOOKUP($A27,'[1]liste reference'!$A$7:$P$906,4,0)),IF(ISERROR(VLOOKUP($A27,'[1]liste reference'!$B$7:$P$906,3,0)),"",VLOOKUP($A27,'[1]liste reference'!$B$7:$P$906,3,0)),VLOOKUP($A27,'[1]liste reference'!$A$7:$P$906,4,0)),"")</f>
        <v>1</v>
      </c>
      <c r="K27" s="218" t="str">
        <f aca="false">IF(A27="NEW.COD",AA27,IF(ISTEXT($E27),"DEJA SAISI !",IF(A27="","",IF(ISERROR(VLOOKUP($A27,'[1]liste reference'!$A$7:$D$906,2,0)),IF(ISERROR(VLOOKUP($A27,'[1]liste reference'!$B$7:$D$906,1,0)),"code non répertorié ou synonyme",VLOOKUP($A27,'[1]liste reference'!$B$7:$D$906,1,0)),VLOOKUP(A27,'[1]liste reference'!$A$7:$D$906,2,0)))))</f>
        <v>Melosira sp.</v>
      </c>
      <c r="L27" s="219"/>
      <c r="M27" s="219"/>
      <c r="N27" s="219"/>
      <c r="O27" s="205"/>
      <c r="P27" s="206" t="n">
        <f aca="false">IF(ISTEXT(H27),"",(B27*$B$7/100)+(C27*$C$7/100))</f>
        <v>0.028</v>
      </c>
      <c r="Q27" s="207" t="n">
        <f aca="false">IF(OR(ISTEXT(H27),P27=0),"",IF(P27&lt;0.1,1,IF(P27&lt;1,2,IF(P27&lt;10,3,IF(P27&lt;50,4,IF(P27&gt;=50,5,""))))))</f>
        <v>1</v>
      </c>
      <c r="R27" s="207" t="n">
        <f aca="false">IF(ISERROR(Q27*I27),0,Q27*I27)</f>
        <v>10</v>
      </c>
      <c r="S27" s="207" t="n">
        <f aca="false">IF(ISERROR(Q27*I27*J27),0,Q27*I27*J27)</f>
        <v>10</v>
      </c>
      <c r="T27" s="220" t="n">
        <f aca="false">IF(ISERROR(Q27*J27),0,Q27*J27)</f>
        <v>1</v>
      </c>
      <c r="U27" s="208" t="str">
        <f aca="false">IF(AND(A27="",F27=0),"",IF(F27=0,"Il manque le(s) % de rec. !",""))</f>
        <v/>
      </c>
      <c r="V27" s="209"/>
      <c r="X27" s="207" t="str">
        <f aca="false">IF(A27="new.cod","NEW.COD",IF(AND((Y27=""),ISTEXT(A27)),A27,IF(Y27="","",INDEX('[1]liste reference'!$A$7:$A$906,Y27))))</f>
        <v>MEL.SPX</v>
      </c>
      <c r="Y27" s="8" t="n">
        <f aca="false">IF(ISERROR(MATCH(A27,'[1]liste reference'!$A$7:$A$906,0)),IF(ISERROR(MATCH(A27,'[1]liste reference'!$B$7:$B$906,0)),"",(MATCH(A27,'[1]liste reference'!$B$7:$B$906,0))),(MATCH(A27,'[1]liste reference'!$A$7:$A$906,0)))</f>
        <v>37</v>
      </c>
      <c r="Z27" s="210"/>
      <c r="AA27" s="211"/>
      <c r="BB27" s="8" t="n">
        <f aca="false">IF(A27="","",1)</f>
        <v>1</v>
      </c>
    </row>
    <row r="28" customFormat="false" ht="12.75" hidden="false" customHeight="false" outlineLevel="0" collapsed="false">
      <c r="A28" s="194" t="s">
        <v>78</v>
      </c>
      <c r="B28" s="212"/>
      <c r="C28" s="213" t="n">
        <v>0.03</v>
      </c>
      <c r="D28" s="214" t="str">
        <f aca="false">IF(ISERROR(VLOOKUP($A28,'[1]liste reference'!$A$7:$D$906,2,0)),IF(ISERROR(VLOOKUP($A28,'[1]liste reference'!$B$7:$D$906,1,0)),"",VLOOKUP($A28,'[1]liste reference'!$B$7:$D$906,1,0)),VLOOKUP($A28,'[1]liste reference'!$A$7:$D$906,2,0))</f>
        <v>Oscillatoria sp.       </v>
      </c>
      <c r="E28" s="214" t="e">
        <f aca="false">IF(D28="",0,VLOOKUP(D28,D$22:D27,1,0))</f>
        <v>#N/A</v>
      </c>
      <c r="F28" s="215" t="n">
        <f aca="false">($B28*$B$7+$C28*$C$7)/100</f>
        <v>0.0084</v>
      </c>
      <c r="G28" s="216"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7" t="n">
        <f aca="false">IF(ISNUMBER(H28),IF(ISERROR(VLOOKUP($A28,'[1]liste reference'!$A$7:$P$906,3,0)),IF(ISERROR(VLOOKUP($A28,'[1]liste reference'!$B$7:$P$906,2,0)),"",VLOOKUP($A28,'[1]liste reference'!$B$7:$P$906,2,0)),VLOOKUP($A28,'[1]liste reference'!$A$7:$P$906,3,0)),"")</f>
        <v>11</v>
      </c>
      <c r="J28" s="202" t="n">
        <f aca="false">IF(ISNUMBER(H28),IF(ISERROR(VLOOKUP($A28,'[1]liste reference'!$A$7:$P$906,4,0)),IF(ISERROR(VLOOKUP($A28,'[1]liste reference'!$B$7:$P$906,3,0)),"",VLOOKUP($A28,'[1]liste reference'!$B$7:$P$906,3,0)),VLOOKUP($A28,'[1]liste reference'!$A$7:$P$906,4,0)),"")</f>
        <v>1</v>
      </c>
      <c r="K28" s="218" t="str">
        <f aca="false">IF(A28="NEW.COD",AA28,IF(ISTEXT($E28),"DEJA SAISI !",IF(A28="","",IF(ISERROR(VLOOKUP($A28,'[1]liste reference'!$A$7:$D$906,2,0)),IF(ISERROR(VLOOKUP($A28,'[1]liste reference'!$B$7:$D$906,1,0)),"code non répertorié ou synonyme",VLOOKUP($A28,'[1]liste reference'!$B$7:$D$906,1,0)),VLOOKUP(A28,'[1]liste reference'!$A$7:$D$906,2,0)))))</f>
        <v>Oscillatoria sp.       </v>
      </c>
      <c r="L28" s="219"/>
      <c r="M28" s="219"/>
      <c r="N28" s="219"/>
      <c r="O28" s="205"/>
      <c r="P28" s="206" t="n">
        <f aca="false">IF(ISTEXT(H28),"",(B28*$B$7/100)+(C28*$C$7/100))</f>
        <v>0.0084</v>
      </c>
      <c r="Q28" s="207" t="n">
        <f aca="false">IF(OR(ISTEXT(H28),P28=0),"",IF(P28&lt;0.1,1,IF(P28&lt;1,2,IF(P28&lt;10,3,IF(P28&lt;50,4,IF(P28&gt;=50,5,""))))))</f>
        <v>1</v>
      </c>
      <c r="R28" s="207" t="n">
        <f aca="false">IF(ISERROR(Q28*I28),0,Q28*I28)</f>
        <v>11</v>
      </c>
      <c r="S28" s="207" t="n">
        <f aca="false">IF(ISERROR(Q28*I28*J28),0,Q28*I28*J28)</f>
        <v>11</v>
      </c>
      <c r="T28" s="220" t="n">
        <f aca="false">IF(ISERROR(Q28*J28),0,Q28*J28)</f>
        <v>1</v>
      </c>
      <c r="U28" s="208" t="str">
        <f aca="false">IF(AND(A28="",F28=0),"",IF(F28=0,"Il manque le(s) % de rec. !",""))</f>
        <v/>
      </c>
      <c r="V28" s="209"/>
      <c r="X28" s="207" t="str">
        <f aca="false">IF(A28="new.cod","NEW.COD",IF(AND((Y28=""),ISTEXT(A28)),A28,IF(Y28="","",INDEX('[1]liste reference'!$A$7:$A$906,Y28))))</f>
        <v>OSC.SPX</v>
      </c>
      <c r="Y28" s="8" t="n">
        <f aca="false">IF(ISERROR(MATCH(A28,'[1]liste reference'!$A$7:$A$906,0)),IF(ISERROR(MATCH(A28,'[1]liste reference'!$B$7:$B$906,0)),"",(MATCH(A28,'[1]liste reference'!$B$7:$B$906,0))),(MATCH(A28,'[1]liste reference'!$A$7:$A$906,0)))</f>
        <v>57</v>
      </c>
      <c r="Z28" s="210"/>
      <c r="AA28" s="211"/>
      <c r="BB28" s="8" t="n">
        <f aca="false">IF(A28="","",1)</f>
        <v>1</v>
      </c>
    </row>
    <row r="29" customFormat="false" ht="12.75" hidden="false" customHeight="false" outlineLevel="0" collapsed="false">
      <c r="A29" s="194" t="s">
        <v>79</v>
      </c>
      <c r="B29" s="212" t="n">
        <v>0.2</v>
      </c>
      <c r="C29" s="213" t="n">
        <v>0.1</v>
      </c>
      <c r="D29" s="214" t="str">
        <f aca="false">IF(ISERROR(VLOOKUP($A29,'[1]liste reference'!$A$7:$D$906,2,0)),IF(ISERROR(VLOOKUP($A29,'[1]liste reference'!$B$7:$D$906,1,0)),"",VLOOKUP($A29,'[1]liste reference'!$B$7:$D$906,1,0)),VLOOKUP($A29,'[1]liste reference'!$A$7:$D$906,2,0))</f>
        <v>Phormidium sp.</v>
      </c>
      <c r="E29" s="214" t="e">
        <f aca="false">IF(D29="",0,VLOOKUP(D29,D$22:D28,1,0))</f>
        <v>#N/A</v>
      </c>
      <c r="F29" s="215" t="n">
        <f aca="false">($B29*$B$7+$C29*$C$7)/100</f>
        <v>0.172</v>
      </c>
      <c r="G29" s="216"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7" t="n">
        <f aca="false">IF(ISNUMBER(H29),IF(ISERROR(VLOOKUP($A29,'[1]liste reference'!$A$7:$P$906,3,0)),IF(ISERROR(VLOOKUP($A29,'[1]liste reference'!$B$7:$P$906,2,0)),"",VLOOKUP($A29,'[1]liste reference'!$B$7:$P$906,2,0)),VLOOKUP($A29,'[1]liste reference'!$A$7:$P$906,3,0)),"")</f>
        <v>13</v>
      </c>
      <c r="J29" s="202" t="n">
        <f aca="false">IF(ISNUMBER(H29),IF(ISERROR(VLOOKUP($A29,'[1]liste reference'!$A$7:$P$906,4,0)),IF(ISERROR(VLOOKUP($A29,'[1]liste reference'!$B$7:$P$906,3,0)),"",VLOOKUP($A29,'[1]liste reference'!$B$7:$P$906,3,0)),VLOOKUP($A29,'[1]liste reference'!$A$7:$P$906,4,0)),"")</f>
        <v>2</v>
      </c>
      <c r="K29" s="218" t="str">
        <f aca="false">IF(A29="NEW.COD",AA29,IF(ISTEXT($E29),"DEJA SAISI !",IF(A29="","",IF(ISERROR(VLOOKUP($A29,'[1]liste reference'!$A$7:$D$906,2,0)),IF(ISERROR(VLOOKUP($A29,'[1]liste reference'!$B$7:$D$906,1,0)),"code non répertorié ou synonyme",VLOOKUP($A29,'[1]liste reference'!$B$7:$D$906,1,0)),VLOOKUP(A29,'[1]liste reference'!$A$7:$D$906,2,0)))))</f>
        <v>Phormidium sp.</v>
      </c>
      <c r="L29" s="219"/>
      <c r="M29" s="219"/>
      <c r="N29" s="219"/>
      <c r="O29" s="205"/>
      <c r="P29" s="206" t="n">
        <f aca="false">IF(ISTEXT(H29),"",(B29*$B$7/100)+(C29*$C$7/100))</f>
        <v>0.172</v>
      </c>
      <c r="Q29" s="207" t="n">
        <f aca="false">IF(OR(ISTEXT(H29),P29=0),"",IF(P29&lt;0.1,1,IF(P29&lt;1,2,IF(P29&lt;10,3,IF(P29&lt;50,4,IF(P29&gt;=50,5,""))))))</f>
        <v>2</v>
      </c>
      <c r="R29" s="207" t="n">
        <f aca="false">IF(ISERROR(Q29*I29),0,Q29*I29)</f>
        <v>26</v>
      </c>
      <c r="S29" s="207" t="n">
        <f aca="false">IF(ISERROR(Q29*I29*J29),0,Q29*I29*J29)</f>
        <v>52</v>
      </c>
      <c r="T29" s="220" t="n">
        <f aca="false">IF(ISERROR(Q29*J29),0,Q29*J29)</f>
        <v>4</v>
      </c>
      <c r="U29" s="208" t="str">
        <f aca="false">IF(AND(A29="",F29=0),"",IF(F29=0,"Il manque le(s) % de rec. !",""))</f>
        <v/>
      </c>
      <c r="V29" s="209"/>
      <c r="X29" s="207" t="str">
        <f aca="false">IF(A29="new.cod","NEW.COD",IF(AND((Y29=""),ISTEXT(A29)),A29,IF(Y29="","",INDEX('[1]liste reference'!$A$7:$A$906,Y29))))</f>
        <v>PHO.SPX</v>
      </c>
      <c r="Y29" s="8" t="n">
        <f aca="false">IF(ISERROR(MATCH(A29,'[1]liste reference'!$A$7:$A$906,0)),IF(ISERROR(MATCH(A29,'[1]liste reference'!$B$7:$B$906,0)),"",(MATCH(A29,'[1]liste reference'!$B$7:$B$906,0))),(MATCH(A29,'[1]liste reference'!$A$7:$A$906,0)))</f>
        <v>58</v>
      </c>
      <c r="Z29" s="210"/>
      <c r="AA29" s="211"/>
      <c r="BB29" s="8" t="n">
        <f aca="false">IF(A29="","",1)</f>
        <v>1</v>
      </c>
    </row>
    <row r="30" customFormat="false" ht="12.75" hidden="false" customHeight="false" outlineLevel="0" collapsed="false">
      <c r="A30" s="194" t="s">
        <v>80</v>
      </c>
      <c r="B30" s="212" t="n">
        <v>0.02</v>
      </c>
      <c r="C30" s="213"/>
      <c r="D30" s="214" t="str">
        <f aca="false">IF(ISERROR(VLOOKUP($A30,'[1]liste reference'!$A$7:$D$906,2,0)),IF(ISERROR(VLOOKUP($A30,'[1]liste reference'!$B$7:$D$906,1,0)),"",VLOOKUP($A30,'[1]liste reference'!$B$7:$D$906,1,0)),VLOOKUP($A30,'[1]liste reference'!$A$7:$D$906,2,0))</f>
        <v>Amblystegium fluviatile (Hygroamblystegium fluviatile)</v>
      </c>
      <c r="E30" s="214" t="e">
        <f aca="false">IF(D30="",0,VLOOKUP(D30,D$21:D29,1,0))</f>
        <v>#N/A</v>
      </c>
      <c r="F30" s="215" t="n">
        <f aca="false">($B30*$B$7+$C30*$C$7)/100</f>
        <v>0.0144</v>
      </c>
      <c r="G30" s="216" t="str">
        <f aca="false">IF(A30="","",IF(ISERROR(VLOOKUP($A30,'[1]liste reference'!$A$7:$P$906,13,0)),IF(ISERROR(VLOOKUP($A30,'[1]liste reference'!$B$7:$P$906,12,0)),"    -",VLOOKUP($A30,'[1]liste reference'!$B$7:$P$906,12,0)),VLOOKUP($A30,'[1]liste reference'!$A$7:$P$906,13,0)))</f>
        <v>BRm</v>
      </c>
      <c r="H30" s="200" t="n">
        <f aca="false">IF(A30="","x",IF(ISERROR(VLOOKUP($A30,'[1]liste reference'!$A$7:$P$906,14,0)),IF(ISERROR(VLOOKUP($A30,'[1]liste reference'!$B$7:$P$906,13,0)),"x",VLOOKUP($A30,'[1]liste reference'!$B$7:$P$906,13,0)),VLOOKUP($A30,'[1]liste reference'!$A$7:$P$906,14,0)))</f>
        <v>5</v>
      </c>
      <c r="I30" s="217" t="n">
        <f aca="false">IF(ISNUMBER(H30),IF(ISERROR(VLOOKUP($A30,'[1]liste reference'!$A$7:$P$906,3,0)),IF(ISERROR(VLOOKUP($A30,'[1]liste reference'!$B$7:$P$906,2,0)),"",VLOOKUP($A30,'[1]liste reference'!$B$7:$P$906,2,0)),VLOOKUP($A30,'[1]liste reference'!$A$7:$P$906,3,0)),"")</f>
        <v>11</v>
      </c>
      <c r="J30" s="202" t="n">
        <f aca="false">IF(ISNUMBER(H30),IF(ISERROR(VLOOKUP($A30,'[1]liste reference'!$A$7:$P$906,4,0)),IF(ISERROR(VLOOKUP($A30,'[1]liste reference'!$B$7:$P$906,3,0)),"",VLOOKUP($A30,'[1]liste reference'!$B$7:$P$906,3,0)),VLOOKUP($A30,'[1]liste reference'!$A$7:$P$906,4,0)),"")</f>
        <v>2</v>
      </c>
      <c r="K30" s="218" t="str">
        <f aca="false">IF(A30="NEW.COD",AA30,IF(ISTEXT($E30),"DEJA SAISI !",IF(A30="","",IF(ISERROR(VLOOKUP($A30,'[1]liste reference'!$A$7:$D$906,2,0)),IF(ISERROR(VLOOKUP($A30,'[1]liste reference'!$B$7:$D$906,1,0)),"code non répertorié ou synonyme",VLOOKUP($A30,'[1]liste reference'!$B$7:$D$906,1,0)),VLOOKUP(A30,'[1]liste reference'!$A$7:$D$906,2,0)))))</f>
        <v>Amblystegium fluviatile (Hygroamblystegium fluviatile)</v>
      </c>
      <c r="L30" s="219"/>
      <c r="M30" s="219"/>
      <c r="N30" s="219"/>
      <c r="O30" s="205"/>
      <c r="P30" s="206" t="n">
        <f aca="false">IF(ISTEXT(H30),"",(B30*$B$7/100)+(C30*$C$7/100))</f>
        <v>0.0144</v>
      </c>
      <c r="Q30" s="207" t="n">
        <f aca="false">IF(OR(ISTEXT(H30),P30=0),"",IF(P30&lt;0.1,1,IF(P30&lt;1,2,IF(P30&lt;10,3,IF(P30&lt;50,4,IF(P30&gt;=50,5,""))))))</f>
        <v>1</v>
      </c>
      <c r="R30" s="207" t="n">
        <f aca="false">IF(ISERROR(Q30*I30),0,Q30*I30)</f>
        <v>11</v>
      </c>
      <c r="S30" s="207" t="n">
        <f aca="false">IF(ISERROR(Q30*I30*J30),0,Q30*I30*J30)</f>
        <v>22</v>
      </c>
      <c r="T30" s="220" t="n">
        <f aca="false">IF(ISERROR(Q30*J30),0,Q30*J30)</f>
        <v>2</v>
      </c>
      <c r="U30" s="208" t="str">
        <f aca="false">IF(AND(A30="",F30=0),"",IF(F30=0,"Il manque le(s) % de rec. !",""))</f>
        <v/>
      </c>
      <c r="V30" s="209"/>
      <c r="W30" s="221"/>
      <c r="X30" s="207" t="str">
        <f aca="false">IF(A30="new.cod","NEW.COD",IF(AND((Y30=""),ISTEXT(A30)),A30,IF(Y30="","",INDEX('[1]liste reference'!$A$7:$A$906,Y30))))</f>
        <v>AMB.FLU</v>
      </c>
      <c r="Y30" s="8" t="n">
        <f aca="false">IF(ISERROR(MATCH(A30,'[1]liste reference'!$A$7:$A$906,0)),IF(ISERROR(MATCH(A30,'[1]liste reference'!$B$7:$B$906,0)),"",(MATCH(A30,'[1]liste reference'!$B$7:$B$906,0))),(MATCH(A30,'[1]liste reference'!$A$7:$A$906,0)))</f>
        <v>148</v>
      </c>
      <c r="Z30" s="210"/>
      <c r="AA30" s="211"/>
      <c r="BB30" s="8" t="n">
        <f aca="false">IF(A30="","",1)</f>
        <v>1</v>
      </c>
    </row>
    <row r="31" customFormat="false" ht="12.75" hidden="false" customHeight="false" outlineLevel="0" collapsed="false">
      <c r="A31" s="194" t="s">
        <v>81</v>
      </c>
      <c r="B31" s="212" t="n">
        <v>0.05</v>
      </c>
      <c r="C31" s="213"/>
      <c r="D31" s="214" t="str">
        <f aca="false">IF(ISERROR(VLOOKUP($A31,'[1]liste reference'!$A$7:$D$906,2,0)),IF(ISERROR(VLOOKUP($A31,'[1]liste reference'!$B$7:$D$906,1,0)),"",VLOOKUP($A31,'[1]liste reference'!$B$7:$D$906,1,0)),VLOOKUP($A31,'[1]liste reference'!$A$7:$D$906,2,0))</f>
        <v>Chiloscyphus polyanthos var. polyanthos (C. polyanthos)</v>
      </c>
      <c r="E31" s="214" t="e">
        <f aca="false">IF(D31="",0,VLOOKUP(D31,D$22:D30,1,0))</f>
        <v>#N/A</v>
      </c>
      <c r="F31" s="215" t="n">
        <f aca="false">($B31*$B$7+$C31*$C$7)/100</f>
        <v>0.036</v>
      </c>
      <c r="G31" s="216" t="str">
        <f aca="false">IF(A31="","",IF(ISERROR(VLOOKUP($A31,'[1]liste reference'!$A$7:$P$906,13,0)),IF(ISERROR(VLOOKUP($A31,'[1]liste reference'!$B$7:$P$906,12,0)),"    -",VLOOKUP($A31,'[1]liste reference'!$B$7:$P$906,12,0)),VLOOKUP($A31,'[1]liste reference'!$A$7:$P$906,13,0)))</f>
        <v>BRh</v>
      </c>
      <c r="H31" s="200" t="n">
        <f aca="false">IF(A31="","x",IF(ISERROR(VLOOKUP($A31,'[1]liste reference'!$A$7:$P$906,14,0)),IF(ISERROR(VLOOKUP($A31,'[1]liste reference'!$B$7:$P$906,13,0)),"x",VLOOKUP($A31,'[1]liste reference'!$B$7:$P$906,13,0)),VLOOKUP($A31,'[1]liste reference'!$A$7:$P$906,14,0)))</f>
        <v>4</v>
      </c>
      <c r="I31" s="217" t="n">
        <f aca="false">IF(ISNUMBER(H31),IF(ISERROR(VLOOKUP($A31,'[1]liste reference'!$A$7:$P$906,3,0)),IF(ISERROR(VLOOKUP($A31,'[1]liste reference'!$B$7:$P$906,2,0)),"",VLOOKUP($A31,'[1]liste reference'!$B$7:$P$906,2,0)),VLOOKUP($A31,'[1]liste reference'!$A$7:$P$906,3,0)),"")</f>
        <v>15</v>
      </c>
      <c r="J31" s="202" t="n">
        <f aca="false">IF(ISNUMBER(H31),IF(ISERROR(VLOOKUP($A31,'[1]liste reference'!$A$7:$P$906,4,0)),IF(ISERROR(VLOOKUP($A31,'[1]liste reference'!$B$7:$P$906,3,0)),"",VLOOKUP($A31,'[1]liste reference'!$B$7:$P$906,3,0)),VLOOKUP($A31,'[1]liste reference'!$A$7:$P$906,4,0)),"")</f>
        <v>2</v>
      </c>
      <c r="K31" s="218" t="str">
        <f aca="false">IF(A31="NEW.COD",AA31,IF(ISTEXT($E31),"DEJA SAISI !",IF(A31="","",IF(ISERROR(VLOOKUP($A31,'[1]liste reference'!$A$7:$D$906,2,0)),IF(ISERROR(VLOOKUP($A31,'[1]liste reference'!$B$7:$D$906,1,0)),"code non répertorié ou synonyme",VLOOKUP($A31,'[1]liste reference'!$B$7:$D$906,1,0)),VLOOKUP(A31,'[1]liste reference'!$A$7:$D$906,2,0)))))</f>
        <v>Chiloscyphus polyanthos var. polyanthos (C. polyanthos)</v>
      </c>
      <c r="L31" s="219"/>
      <c r="M31" s="219"/>
      <c r="N31" s="219"/>
      <c r="O31" s="205"/>
      <c r="P31" s="206" t="n">
        <f aca="false">IF(ISTEXT(H31),"",(B31*$B$7/100)+(C31*$C$7/100))</f>
        <v>0.036</v>
      </c>
      <c r="Q31" s="207" t="n">
        <f aca="false">IF(OR(ISTEXT(H31),P31=0),"",IF(P31&lt;0.1,1,IF(P31&lt;1,2,IF(P31&lt;10,3,IF(P31&lt;50,4,IF(P31&gt;=50,5,""))))))</f>
        <v>1</v>
      </c>
      <c r="R31" s="207" t="n">
        <f aca="false">IF(ISERROR(Q31*I31),0,Q31*I31)</f>
        <v>15</v>
      </c>
      <c r="S31" s="207" t="n">
        <f aca="false">IF(ISERROR(Q31*I31*J31),0,Q31*I31*J31)</f>
        <v>30</v>
      </c>
      <c r="T31" s="220" t="n">
        <f aca="false">IF(ISERROR(Q31*J31),0,Q31*J31)</f>
        <v>2</v>
      </c>
      <c r="U31" s="208" t="str">
        <f aca="false">IF(AND(A31="",F31=0),"",IF(F31=0,"Il manque le(s) % de rec. !",""))</f>
        <v/>
      </c>
      <c r="V31" s="209"/>
      <c r="X31" s="207" t="str">
        <f aca="false">IF(A31="new.cod","NEW.COD",IF(AND((Y31=""),ISTEXT(A31)),A31,IF(Y31="","",INDEX('[1]liste reference'!$A$7:$A$906,Y31))))</f>
        <v>CHI.POL</v>
      </c>
      <c r="Y31" s="8" t="n">
        <f aca="false">IF(ISERROR(MATCH(A31,'[1]liste reference'!$A$7:$A$906,0)),IF(ISERROR(MATCH(A31,'[1]liste reference'!$B$7:$B$906,0)),"",(MATCH(A31,'[1]liste reference'!$B$7:$B$906,0))),(MATCH(A31,'[1]liste reference'!$A$7:$A$906,0)))</f>
        <v>98</v>
      </c>
      <c r="Z31" s="210"/>
      <c r="AA31" s="211"/>
      <c r="BB31" s="8" t="n">
        <f aca="false">IF(A31="","",1)</f>
        <v>1</v>
      </c>
    </row>
    <row r="32" customFormat="false" ht="12.75" hidden="false" customHeight="false" outlineLevel="0" collapsed="false">
      <c r="A32" s="194" t="s">
        <v>82</v>
      </c>
      <c r="B32" s="212" t="n">
        <v>0.03</v>
      </c>
      <c r="C32" s="213"/>
      <c r="D32" s="214" t="str">
        <f aca="false">IF(ISERROR(VLOOKUP($A32,'[1]liste reference'!$A$7:$D$906,2,0)),IF(ISERROR(VLOOKUP($A32,'[1]liste reference'!$B$7:$D$906,1,0)),"",VLOOKUP($A32,'[1]liste reference'!$B$7:$D$906,1,0)),VLOOKUP($A32,'[1]liste reference'!$A$7:$D$906,2,0))</f>
        <v>Cinclidotus fontinaloides</v>
      </c>
      <c r="E32" s="214" t="e">
        <f aca="false">IF(D32="",0,VLOOKUP(D32,D$22:D31,1,0))</f>
        <v>#N/A</v>
      </c>
      <c r="F32" s="215" t="n">
        <f aca="false">($B32*$B$7+$C32*$C$7)/100</f>
        <v>0.0216</v>
      </c>
      <c r="G32" s="216"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7" t="n">
        <f aca="false">IF(ISNUMBER(H32),IF(ISERROR(VLOOKUP($A32,'[1]liste reference'!$A$7:$P$906,3,0)),IF(ISERROR(VLOOKUP($A32,'[1]liste reference'!$B$7:$P$906,2,0)),"",VLOOKUP($A32,'[1]liste reference'!$B$7:$P$906,2,0)),VLOOKUP($A32,'[1]liste reference'!$A$7:$P$906,3,0)),"")</f>
        <v>12</v>
      </c>
      <c r="J32" s="202" t="n">
        <f aca="false">IF(ISNUMBER(H32),IF(ISERROR(VLOOKUP($A32,'[1]liste reference'!$A$7:$P$906,4,0)),IF(ISERROR(VLOOKUP($A32,'[1]liste reference'!$B$7:$P$906,3,0)),"",VLOOKUP($A32,'[1]liste reference'!$B$7:$P$906,3,0)),VLOOKUP($A32,'[1]liste reference'!$A$7:$P$906,4,0)),"")</f>
        <v>2</v>
      </c>
      <c r="K32" s="218" t="str">
        <f aca="false">IF(A32="NEW.COD",AA32,IF(ISTEXT($E32),"DEJA SAISI !",IF(A32="","",IF(ISERROR(VLOOKUP($A32,'[1]liste reference'!$A$7:$D$906,2,0)),IF(ISERROR(VLOOKUP($A32,'[1]liste reference'!$B$7:$D$906,1,0)),"code non répertorié ou synonyme",VLOOKUP($A32,'[1]liste reference'!$B$7:$D$906,1,0)),VLOOKUP(A32,'[1]liste reference'!$A$7:$D$906,2,0)))))</f>
        <v>Cinclidotus fontinaloides</v>
      </c>
      <c r="L32" s="222"/>
      <c r="M32" s="222"/>
      <c r="N32" s="222"/>
      <c r="O32" s="223"/>
      <c r="P32" s="206" t="n">
        <f aca="false">IF(ISTEXT(H32),"",(B32*$B$7/100)+(C32*$C$7/100))</f>
        <v>0.0216</v>
      </c>
      <c r="Q32" s="207" t="n">
        <f aca="false">IF(OR(ISTEXT(H32),P32=0),"",IF(P32&lt;0.1,1,IF(P32&lt;1,2,IF(P32&lt;10,3,IF(P32&lt;50,4,IF(P32&gt;=50,5,""))))))</f>
        <v>1</v>
      </c>
      <c r="R32" s="207" t="n">
        <f aca="false">IF(ISERROR(Q32*I32),0,Q32*I32)</f>
        <v>12</v>
      </c>
      <c r="S32" s="207" t="n">
        <f aca="false">IF(ISERROR(Q32*I32*J32),0,Q32*I32*J32)</f>
        <v>24</v>
      </c>
      <c r="T32" s="220" t="n">
        <f aca="false">IF(ISERROR(Q32*J32),0,Q32*J32)</f>
        <v>2</v>
      </c>
      <c r="U32" s="208" t="str">
        <f aca="false">IF(AND(A32="",F32=0),"",IF(F32=0,"Il manque le(s) % de rec. !",""))</f>
        <v/>
      </c>
      <c r="V32" s="209"/>
      <c r="X32" s="207" t="str">
        <f aca="false">IF(A32="new.cod","NEW.COD",IF(AND((Y32=""),ISTEXT(A32)),A32,IF(Y32="","",INDEX('[1]liste reference'!$A$7:$A$906,Y32))))</f>
        <v>CIN.FON</v>
      </c>
      <c r="Y32" s="8" t="n">
        <f aca="false">IF(ISERROR(MATCH(A32,'[1]liste reference'!$A$7:$A$906,0)),IF(ISERROR(MATCH(A32,'[1]liste reference'!$B$7:$B$906,0)),"",(MATCH(A32,'[1]liste reference'!$B$7:$B$906,0))),(MATCH(A32,'[1]liste reference'!$A$7:$A$906,0)))</f>
        <v>173</v>
      </c>
      <c r="Z32" s="210"/>
      <c r="AA32" s="211"/>
      <c r="BB32" s="8" t="n">
        <f aca="false">IF(A32="","",1)</f>
        <v>1</v>
      </c>
    </row>
    <row r="33" customFormat="false" ht="12.75" hidden="false" customHeight="false" outlineLevel="0" collapsed="false">
      <c r="A33" s="194" t="s">
        <v>83</v>
      </c>
      <c r="B33" s="212" t="n">
        <v>0.1</v>
      </c>
      <c r="C33" s="213"/>
      <c r="D33" s="214" t="str">
        <f aca="false">IF(ISERROR(VLOOKUP($A33,'[1]liste reference'!$A$7:$D$906,2,0)),IF(ISERROR(VLOOKUP($A33,'[1]liste reference'!$B$7:$D$906,1,0)),"",VLOOKUP($A33,'[1]liste reference'!$B$7:$D$906,1,0)),VLOOKUP($A33,'[1]liste reference'!$A$7:$D$906,2,0))</f>
        <v>Fissidens crassipes</v>
      </c>
      <c r="E33" s="214" t="e">
        <f aca="false">IF(D33="",0,VLOOKUP(D33,D$22:D32,1,0))</f>
        <v>#N/A</v>
      </c>
      <c r="F33" s="224" t="n">
        <f aca="false">($B33*$B$7+$C33*$C$7)/100</f>
        <v>0.072</v>
      </c>
      <c r="G33" s="216"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7" t="n">
        <f aca="false">IF(ISNUMBER(H33),IF(ISERROR(VLOOKUP($A33,'[1]liste reference'!$A$7:$P$906,3,0)),IF(ISERROR(VLOOKUP($A33,'[1]liste reference'!$B$7:$P$906,2,0)),"",VLOOKUP($A33,'[1]liste reference'!$B$7:$P$906,2,0)),VLOOKUP($A33,'[1]liste reference'!$A$7:$P$906,3,0)),"")</f>
        <v>12</v>
      </c>
      <c r="J33" s="202" t="n">
        <f aca="false">IF(ISNUMBER(H33),IF(ISERROR(VLOOKUP($A33,'[1]liste reference'!$A$7:$P$906,4,0)),IF(ISERROR(VLOOKUP($A33,'[1]liste reference'!$B$7:$P$906,3,0)),"",VLOOKUP($A33,'[1]liste reference'!$B$7:$P$906,3,0)),VLOOKUP($A33,'[1]liste reference'!$A$7:$P$906,4,0)),"")</f>
        <v>2</v>
      </c>
      <c r="K33" s="218" t="str">
        <f aca="false">IF(A33="NEW.COD",AA33,IF(ISTEXT($E33),"DEJA SAISI !",IF(A33="","",IF(ISERROR(VLOOKUP($A33,'[1]liste reference'!$A$7:$D$906,2,0)),IF(ISERROR(VLOOKUP($A33,'[1]liste reference'!$B$7:$D$906,1,0)),"code non répertorié ou synonyme",VLOOKUP($A33,'[1]liste reference'!$B$7:$D$906,1,0)),VLOOKUP(A33,'[1]liste reference'!$A$7:$D$906,2,0)))))</f>
        <v>Fissidens crassipes</v>
      </c>
      <c r="L33" s="222"/>
      <c r="M33" s="222"/>
      <c r="N33" s="222"/>
      <c r="O33" s="223"/>
      <c r="P33" s="206" t="n">
        <f aca="false">IF(ISTEXT(H33),"",(B33*$B$7/100)+(C33*$C$7/100))</f>
        <v>0.072</v>
      </c>
      <c r="Q33" s="207" t="n">
        <f aca="false">IF(OR(ISTEXT(H33),P33=0),"",IF(P33&lt;0.1,1,IF(P33&lt;1,2,IF(P33&lt;10,3,IF(P33&lt;50,4,IF(P33&gt;=50,5,""))))))</f>
        <v>1</v>
      </c>
      <c r="R33" s="207" t="n">
        <f aca="false">IF(ISERROR(Q33*I33),0,Q33*I33)</f>
        <v>12</v>
      </c>
      <c r="S33" s="207" t="n">
        <f aca="false">IF(ISERROR(Q33*I33*J33),0,Q33*I33*J33)</f>
        <v>24</v>
      </c>
      <c r="T33" s="220" t="n">
        <f aca="false">IF(ISERROR(Q33*J33),0,Q33*J33)</f>
        <v>2</v>
      </c>
      <c r="U33" s="208" t="str">
        <f aca="false">IF(AND(A33="",F33=0),"",IF(F33=0,"Il manque le(s) % de rec. !",""))</f>
        <v/>
      </c>
      <c r="V33" s="209"/>
      <c r="X33" s="207" t="str">
        <f aca="false">IF(A33="new.cod","NEW.COD",IF(AND((Y33=""),ISTEXT(A33)),A33,IF(Y33="","",INDEX('[1]liste reference'!$A$7:$A$906,Y33))))</f>
        <v>FIS.CRA</v>
      </c>
      <c r="Y33" s="8" t="n">
        <f aca="false">IF(ISERROR(MATCH(A33,'[1]liste reference'!$A$7:$A$906,0)),IF(ISERROR(MATCH(A33,'[1]liste reference'!$B$7:$B$906,0)),"",(MATCH(A33,'[1]liste reference'!$B$7:$B$906,0))),(MATCH(A33,'[1]liste reference'!$A$7:$A$906,0)))</f>
        <v>198</v>
      </c>
      <c r="Z33" s="210"/>
      <c r="AA33" s="211"/>
      <c r="BB33" s="8" t="n">
        <f aca="false">IF(A33="","",1)</f>
        <v>1</v>
      </c>
    </row>
    <row r="34" customFormat="false" ht="12.75" hidden="false" customHeight="false" outlineLevel="0" collapsed="false">
      <c r="A34" s="194" t="s">
        <v>84</v>
      </c>
      <c r="B34" s="212" t="n">
        <v>0.1</v>
      </c>
      <c r="C34" s="213"/>
      <c r="D34" s="214" t="str">
        <f aca="false">IF(ISERROR(VLOOKUP($A34,'[1]liste reference'!$A$7:$D$906,2,0)),IF(ISERROR(VLOOKUP($A34,'[1]liste reference'!$B$7:$D$906,1,0)),"",VLOOKUP($A34,'[1]liste reference'!$B$7:$D$906,1,0)),VLOOKUP($A34,'[1]liste reference'!$A$7:$D$906,2,0))</f>
        <v>Fissidens rivularis</v>
      </c>
      <c r="E34" s="214" t="e">
        <f aca="false">IF(D34="",0,VLOOKUP(D34,D$22:D33,1,0))</f>
        <v>#N/A</v>
      </c>
      <c r="F34" s="224" t="n">
        <f aca="false">($B34*$B$7+$C34*$C$7)/100</f>
        <v>0.072</v>
      </c>
      <c r="G34" s="216"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7"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18" t="str">
        <f aca="false">IF(A34="NEW.COD",AA34,IF(ISTEXT($E34),"DEJA SAISI !",IF(A34="","",IF(ISERROR(VLOOKUP($A34,'[1]liste reference'!$A$7:$D$906,2,0)),IF(ISERROR(VLOOKUP($A34,'[1]liste reference'!$B$7:$D$906,1,0)),"code non répertorié ou synonyme",VLOOKUP($A34,'[1]liste reference'!$B$7:$D$906,1,0)),VLOOKUP(A34,'[1]liste reference'!$A$7:$D$906,2,0)))))</f>
        <v>Fissidens rivularis</v>
      </c>
      <c r="L34" s="219"/>
      <c r="M34" s="219"/>
      <c r="N34" s="219"/>
      <c r="O34" s="205"/>
      <c r="P34" s="206" t="n">
        <f aca="false">IF(ISTEXT(H34),"",(B34*$B$7/100)+(C34*$C$7/100))</f>
        <v>0.072</v>
      </c>
      <c r="Q34" s="207" t="n">
        <f aca="false">IF(OR(ISTEXT(H34),P34=0),"",IF(P34&lt;0.1,1,IF(P34&lt;1,2,IF(P34&lt;10,3,IF(P34&lt;50,4,IF(P34&gt;=50,5,""))))))</f>
        <v>1</v>
      </c>
      <c r="R34" s="207" t="n">
        <f aca="false">IF(ISERROR(Q34*I34),0,Q34*I34)</f>
        <v>0</v>
      </c>
      <c r="S34" s="207" t="n">
        <f aca="false">IF(ISERROR(Q34*I34*J34),0,Q34*I34*J34)</f>
        <v>0</v>
      </c>
      <c r="T34" s="220" t="n">
        <f aca="false">IF(ISERROR(Q34*J34),0,Q34*J34)</f>
        <v>0</v>
      </c>
      <c r="U34" s="208" t="str">
        <f aca="false">IF(AND(A34="",F34=0),"",IF(F34=0,"Il manque le(s) % de rec. !",""))</f>
        <v/>
      </c>
      <c r="V34" s="209"/>
      <c r="X34" s="207" t="str">
        <f aca="false">IF(A34="new.cod","NEW.COD",IF(AND((Y34=""),ISTEXT(A34)),A34,IF(Y34="","",INDEX('[1]liste reference'!$A$7:$A$906,Y34))))</f>
        <v>FIS.RIV</v>
      </c>
      <c r="Y34" s="8" t="n">
        <f aca="false">IF(ISERROR(MATCH(A34,'[1]liste reference'!$A$7:$A$906,0)),IF(ISERROR(MATCH(A34,'[1]liste reference'!$B$7:$B$906,0)),"",(MATCH(A34,'[1]liste reference'!$B$7:$B$906,0))),(MATCH(A34,'[1]liste reference'!$A$7:$A$906,0)))</f>
        <v>206</v>
      </c>
      <c r="Z34" s="210"/>
      <c r="AA34" s="211"/>
      <c r="BB34" s="8" t="n">
        <f aca="false">IF(A34="","",1)</f>
        <v>1</v>
      </c>
    </row>
    <row r="35" customFormat="false" ht="12.75" hidden="false" customHeight="false" outlineLevel="0" collapsed="false">
      <c r="A35" s="194" t="s">
        <v>85</v>
      </c>
      <c r="B35" s="212" t="n">
        <v>0.1</v>
      </c>
      <c r="C35" s="213"/>
      <c r="D35" s="214" t="str">
        <f aca="false">IF(ISERROR(VLOOKUP($A35,'[1]liste reference'!$A$7:$D$906,2,0)),IF(ISERROR(VLOOKUP($A35,'[1]liste reference'!$B$7:$D$906,1,0)),"",VLOOKUP($A35,'[1]liste reference'!$B$7:$D$906,1,0)),VLOOKUP($A35,'[1]liste reference'!$A$7:$D$906,2,0))</f>
        <v>Fontinalis antipyretica</v>
      </c>
      <c r="E35" s="214" t="e">
        <f aca="false">IF(D35="",0,VLOOKUP(D35,D$22:D34,1,0))</f>
        <v>#N/A</v>
      </c>
      <c r="F35" s="224" t="n">
        <f aca="false">($B35*$B$7+$C35*$C$7)/100</f>
        <v>0.072</v>
      </c>
      <c r="G35" s="216" t="str">
        <f aca="false">IF(A35="","",IF(ISERROR(VLOOKUP($A35,'[1]liste reference'!$A$7:$P$906,13,0)),IF(ISERROR(VLOOKUP($A35,'[1]liste reference'!$B$7:$P$906,12,0)),"    -",VLOOKUP($A35,'[1]liste reference'!$B$7:$P$906,12,0)),VLOOKUP($A35,'[1]liste reference'!$A$7:$P$906,13,0)))</f>
        <v>BRm</v>
      </c>
      <c r="H35" s="200" t="n">
        <f aca="false">IF(A35="","x",IF(ISERROR(VLOOKUP($A35,'[1]liste reference'!$A$7:$P$906,14,0)),IF(ISERROR(VLOOKUP($A35,'[1]liste reference'!$B$7:$P$906,13,0)),"x",VLOOKUP($A35,'[1]liste reference'!$B$7:$P$906,13,0)),VLOOKUP($A35,'[1]liste reference'!$A$7:$P$906,14,0)))</f>
        <v>5</v>
      </c>
      <c r="I35" s="217" t="n">
        <f aca="false">IF(ISNUMBER(H35),IF(ISERROR(VLOOKUP($A35,'[1]liste reference'!$A$7:$P$906,3,0)),IF(ISERROR(VLOOKUP($A35,'[1]liste reference'!$B$7:$P$906,2,0)),"",VLOOKUP($A35,'[1]liste reference'!$B$7:$P$906,2,0)),VLOOKUP($A35,'[1]liste reference'!$A$7:$P$906,3,0)),"")</f>
        <v>10</v>
      </c>
      <c r="J35" s="202" t="n">
        <f aca="false">IF(ISNUMBER(H35),IF(ISERROR(VLOOKUP($A35,'[1]liste reference'!$A$7:$P$906,4,0)),IF(ISERROR(VLOOKUP($A35,'[1]liste reference'!$B$7:$P$906,3,0)),"",VLOOKUP($A35,'[1]liste reference'!$B$7:$P$906,3,0)),VLOOKUP($A35,'[1]liste reference'!$A$7:$P$906,4,0)),"")</f>
        <v>1</v>
      </c>
      <c r="K35" s="218" t="str">
        <f aca="false">IF(A35="NEW.COD",AA35,IF(ISTEXT($E35),"DEJA SAISI !",IF(A35="","",IF(ISERROR(VLOOKUP($A35,'[1]liste reference'!$A$7:$D$906,2,0)),IF(ISERROR(VLOOKUP($A35,'[1]liste reference'!$B$7:$D$906,1,0)),"code non répertorié ou synonyme",VLOOKUP($A35,'[1]liste reference'!$B$7:$D$906,1,0)),VLOOKUP(A35,'[1]liste reference'!$A$7:$D$906,2,0)))))</f>
        <v>Fontinalis antipyretica</v>
      </c>
      <c r="L35" s="219"/>
      <c r="M35" s="219"/>
      <c r="N35" s="219"/>
      <c r="O35" s="205"/>
      <c r="P35" s="206" t="n">
        <f aca="false">IF(ISTEXT(H35),"",(B35*$B$7/100)+(C35*$C$7/100))</f>
        <v>0.072</v>
      </c>
      <c r="Q35" s="207" t="n">
        <f aca="false">IF(OR(ISTEXT(H35),P35=0),"",IF(P35&lt;0.1,1,IF(P35&lt;1,2,IF(P35&lt;10,3,IF(P35&lt;50,4,IF(P35&gt;=50,5,""))))))</f>
        <v>1</v>
      </c>
      <c r="R35" s="207" t="n">
        <f aca="false">IF(ISERROR(Q35*I35),0,Q35*I35)</f>
        <v>10</v>
      </c>
      <c r="S35" s="207" t="n">
        <f aca="false">IF(ISERROR(Q35*I35*J35),0,Q35*I35*J35)</f>
        <v>10</v>
      </c>
      <c r="T35" s="220" t="n">
        <f aca="false">IF(ISERROR(Q35*J35),0,Q35*J35)</f>
        <v>1</v>
      </c>
      <c r="U35" s="208" t="str">
        <f aca="false">IF(AND(A35="",F35=0),"",IF(F35=0,"Il manque le(s) % de rec. !",""))</f>
        <v/>
      </c>
      <c r="V35" s="209"/>
      <c r="W35" s="209"/>
      <c r="X35" s="207" t="str">
        <f aca="false">IF(A35="new.cod","NEW.COD",IF(AND((Y35=""),ISTEXT(A35)),A35,IF(Y35="","",INDEX('[1]liste reference'!$A$7:$A$906,Y35))))</f>
        <v>FON.ANT</v>
      </c>
      <c r="Y35" s="8" t="n">
        <f aca="false">IF(ISERROR(MATCH(A35,'[1]liste reference'!$A$7:$A$906,0)),IF(ISERROR(MATCH(A35,'[1]liste reference'!$B$7:$B$906,0)),"",(MATCH(A35,'[1]liste reference'!$B$7:$B$906,0))),(MATCH(A35,'[1]liste reference'!$A$7:$A$906,0)))</f>
        <v>211</v>
      </c>
      <c r="Z35" s="210"/>
      <c r="AA35" s="211"/>
      <c r="BB35" s="8" t="n">
        <f aca="false">IF(A35="","",1)</f>
        <v>1</v>
      </c>
    </row>
    <row r="36" customFormat="false" ht="12.75" hidden="false" customHeight="false" outlineLevel="0" collapsed="false">
      <c r="A36" s="194" t="s">
        <v>86</v>
      </c>
      <c r="B36" s="212" t="n">
        <v>0.8</v>
      </c>
      <c r="C36" s="213"/>
      <c r="D36" s="214" t="str">
        <f aca="false">IF(ISERROR(VLOOKUP($A36,'[1]liste reference'!$A$7:$D$906,2,0)),IF(ISERROR(VLOOKUP($A36,'[1]liste reference'!$B$7:$D$906,1,0)),"",VLOOKUP($A36,'[1]liste reference'!$B$7:$D$906,1,0)),VLOOKUP($A36,'[1]liste reference'!$A$7:$D$906,2,0))</f>
        <v>Rhynchostegium riparioides (Platyhypnidium rusciforme)</v>
      </c>
      <c r="E36" s="214" t="e">
        <f aca="false">IF(D36="",0,VLOOKUP(D36,D$22:D35,1,0))</f>
        <v>#N/A</v>
      </c>
      <c r="F36" s="224" t="n">
        <f aca="false">($B36*$B$7+$C36*$C$7)/100</f>
        <v>0.576</v>
      </c>
      <c r="G36" s="216" t="str">
        <f aca="false">IF(A36="","",IF(ISERROR(VLOOKUP($A36,'[1]liste reference'!$A$7:$P$906,13,0)),IF(ISERROR(VLOOKUP($A36,'[1]liste reference'!$B$7:$P$906,12,0)),"    -",VLOOKUP($A36,'[1]liste reference'!$B$7:$P$906,12,0)),VLOOKUP($A36,'[1]liste reference'!$A$7:$P$906,13,0)))</f>
        <v>BRm</v>
      </c>
      <c r="H36" s="200" t="n">
        <f aca="false">IF(A36="","x",IF(ISERROR(VLOOKUP($A36,'[1]liste reference'!$A$7:$P$906,14,0)),IF(ISERROR(VLOOKUP($A36,'[1]liste reference'!$B$7:$P$906,13,0)),"x",VLOOKUP($A36,'[1]liste reference'!$B$7:$P$906,13,0)),VLOOKUP($A36,'[1]liste reference'!$A$7:$P$906,14,0)))</f>
        <v>5</v>
      </c>
      <c r="I36" s="217" t="n">
        <f aca="false">IF(ISNUMBER(H36),IF(ISERROR(VLOOKUP($A36,'[1]liste reference'!$A$7:$P$906,3,0)),IF(ISERROR(VLOOKUP($A36,'[1]liste reference'!$B$7:$P$906,2,0)),"",VLOOKUP($A36,'[1]liste reference'!$B$7:$P$906,2,0)),VLOOKUP($A36,'[1]liste reference'!$A$7:$P$906,3,0)),"")</f>
        <v>12</v>
      </c>
      <c r="J36" s="202" t="n">
        <f aca="false">IF(ISNUMBER(H36),IF(ISERROR(VLOOKUP($A36,'[1]liste reference'!$A$7:$P$906,4,0)),IF(ISERROR(VLOOKUP($A36,'[1]liste reference'!$B$7:$P$906,3,0)),"",VLOOKUP($A36,'[1]liste reference'!$B$7:$P$906,3,0)),VLOOKUP($A36,'[1]liste reference'!$A$7:$P$906,4,0)),"")</f>
        <v>1</v>
      </c>
      <c r="K36" s="218" t="str">
        <f aca="false">IF(A36="NEW.COD",AA36,IF(ISTEXT($E36),"DEJA SAISI !",IF(A36="","",IF(ISERROR(VLOOKUP($A36,'[1]liste reference'!$A$7:$D$906,2,0)),IF(ISERROR(VLOOKUP($A36,'[1]liste reference'!$B$7:$D$906,1,0)),"code non répertorié ou synonyme",VLOOKUP($A36,'[1]liste reference'!$B$7:$D$906,1,0)),VLOOKUP(A36,'[1]liste reference'!$A$7:$D$906,2,0)))))</f>
        <v>Rhynchostegium riparioides (Platyhypnidium rusciforme)</v>
      </c>
      <c r="L36" s="219"/>
      <c r="M36" s="219"/>
      <c r="N36" s="219"/>
      <c r="O36" s="205"/>
      <c r="P36" s="206" t="n">
        <f aca="false">IF(ISTEXT(H36),"",(B36*$B$7/100)+(C36*$C$7/100))</f>
        <v>0.576</v>
      </c>
      <c r="Q36" s="207" t="n">
        <f aca="false">IF(OR(ISTEXT(H36),P36=0),"",IF(P36&lt;0.1,1,IF(P36&lt;1,2,IF(P36&lt;10,3,IF(P36&lt;50,4,IF(P36&gt;=50,5,""))))))</f>
        <v>2</v>
      </c>
      <c r="R36" s="207" t="n">
        <f aca="false">IF(ISERROR(Q36*I36),0,Q36*I36)</f>
        <v>24</v>
      </c>
      <c r="S36" s="207" t="n">
        <f aca="false">IF(ISERROR(Q36*I36*J36),0,Q36*I36*J36)</f>
        <v>24</v>
      </c>
      <c r="T36" s="220" t="n">
        <f aca="false">IF(ISERROR(Q36*J36),0,Q36*J36)</f>
        <v>2</v>
      </c>
      <c r="U36" s="208" t="str">
        <f aca="false">IF(AND(A36="",F36=0),"",IF(F36=0,"Il manque le(s) % de rec. !",""))</f>
        <v/>
      </c>
      <c r="V36" s="209"/>
      <c r="X36" s="207" t="str">
        <f aca="false">IF(A36="new.cod","NEW.COD",IF(AND((Y36=""),ISTEXT(A36)),A36,IF(Y36="","",INDEX('[1]liste reference'!$A$7:$A$906,Y36))))</f>
        <v>RHY.RIP</v>
      </c>
      <c r="Y36" s="8" t="n">
        <f aca="false">IF(ISERROR(MATCH(A36,'[1]liste reference'!$A$7:$A$906,0)),IF(ISERROR(MATCH(A36,'[1]liste reference'!$B$7:$B$906,0)),"",(MATCH(A36,'[1]liste reference'!$B$7:$B$906,0))),(MATCH(A36,'[1]liste reference'!$A$7:$A$906,0)))</f>
        <v>253</v>
      </c>
      <c r="Z36" s="210"/>
      <c r="AA36" s="211"/>
      <c r="BB36" s="8" t="n">
        <f aca="false">IF(A36="","",1)</f>
        <v>1</v>
      </c>
    </row>
    <row r="37" customFormat="false" ht="12.75" hidden="false" customHeight="false" outlineLevel="0" collapsed="false">
      <c r="A37" s="194"/>
      <c r="B37" s="212"/>
      <c r="C37" s="213"/>
      <c r="D37" s="214" t="str">
        <f aca="false">IF(ISERROR(VLOOKUP($A37,'[1]liste reference'!$A$7:$D$906,2,0)),IF(ISERROR(VLOOKUP($A37,'[1]liste reference'!$B$7:$D$906,1,0)),"",VLOOKUP($A37,'[1]liste reference'!$B$7:$D$906,1,0)),VLOOKUP($A37,'[1]liste reference'!$A$7:$D$906,2,0))</f>
        <v/>
      </c>
      <c r="E37" s="214" t="n">
        <f aca="false">IF(D37="",0,VLOOKUP(D37,D$22:D36,1,0))</f>
        <v>0</v>
      </c>
      <c r="F37" s="224" t="n">
        <f aca="false">($B37*$B$7+$C37*$C$7)/100</f>
        <v>0</v>
      </c>
      <c r="G37" s="216" t="str">
        <f aca="false">IF(A37="","",IF(ISERROR(VLOOKUP($A37,'[1]liste reference'!$A$7:$P$906,13,0)),IF(ISERROR(VLOOKUP($A37,'[1]liste reference'!$B$7:$P$906,12,0)),"    -",VLOOKUP($A37,'[1]liste reference'!$B$7:$P$906,12,0)),VLOOKUP($A37,'[1]liste reference'!$A$7:$P$906,13,0)))</f>
        <v/>
      </c>
      <c r="H37" s="200" t="str">
        <f aca="false">IF(A37="","x",IF(ISERROR(VLOOKUP($A37,'[1]liste reference'!$A$7:$P$906,14,0)),IF(ISERROR(VLOOKUP($A37,'[1]liste reference'!$B$7:$P$906,13,0)),"x",VLOOKUP($A37,'[1]liste reference'!$B$7:$P$906,13,0)),VLOOKUP($A37,'[1]liste reference'!$A$7:$P$906,14,0)))</f>
        <v>x</v>
      </c>
      <c r="I37" s="217"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8" t="str">
        <f aca="false">IF(A37="NEW.COD",AA37,IF(ISTEXT($E37),"DEJA SAISI !",IF(A37="","",IF(ISERROR(VLOOKUP($A37,'[1]liste reference'!$A$7:$D$906,2,0)),IF(ISERROR(VLOOKUP($A37,'[1]liste reference'!$B$7:$D$906,1,0)),"code non répertorié ou synonyme",VLOOKUP($A37,'[1]liste reference'!$B$7:$D$906,1,0)),VLOOKUP(A37,'[1]liste reference'!$A$7:$D$906,2,0)))))</f>
        <v/>
      </c>
      <c r="L37" s="219"/>
      <c r="M37" s="219"/>
      <c r="N37" s="219"/>
      <c r="O37" s="205"/>
      <c r="P37" s="206" t="str">
        <f aca="false">IF(ISTEXT(H37),"",(B37*$B$7/100)+(C37*$C$7/100))</f>
        <v/>
      </c>
      <c r="Q37" s="207" t="str">
        <f aca="false">IF(OR(ISTEXT(H37),P37=0),"",IF(P37&lt;0.1,1,IF(P37&lt;1,2,IF(P37&lt;10,3,IF(P37&lt;50,4,IF(P37&gt;=50,5,""))))))</f>
        <v/>
      </c>
      <c r="R37" s="207" t="n">
        <f aca="false">IF(ISERROR(Q37*I37),0,Q37*I37)</f>
        <v>0</v>
      </c>
      <c r="S37" s="207" t="n">
        <f aca="false">IF(ISERROR(Q37*I37*J37),0,Q37*I37*J37)</f>
        <v>0</v>
      </c>
      <c r="T37" s="220" t="n">
        <f aca="false">IF(ISERROR(Q37*J37),0,Q37*J37)</f>
        <v>0</v>
      </c>
      <c r="U37" s="208" t="str">
        <f aca="false">IF(AND(A37="",F37=0),"",IF(F37=0,"Il manque le(s) % de rec. !",""))</f>
        <v/>
      </c>
      <c r="V37" s="209"/>
      <c r="W37" s="209"/>
      <c r="X37" s="207" t="str">
        <f aca="false">IF(A37="new.cod","NEW.COD",IF(AND((Y37=""),ISTEXT(A37)),A37,IF(Y37="","",INDEX('[1]liste reference'!$A$7:$A$906,Y37))))</f>
        <v/>
      </c>
      <c r="Y37" s="8" t="str">
        <f aca="false">IF(ISERROR(MATCH(A37,'[1]liste reference'!$A$7:$A$906,0)),IF(ISERROR(MATCH(A37,'[1]liste reference'!$B$7:$B$906,0)),"",(MATCH(A37,'[1]liste reference'!$B$7:$B$906,0))),(MATCH(A37,'[1]liste reference'!$A$7:$A$906,0)))</f>
        <v/>
      </c>
      <c r="Z37" s="210"/>
      <c r="AA37" s="211"/>
      <c r="BB37" s="8" t="str">
        <f aca="false">IF(A37="","",1)</f>
        <v/>
      </c>
    </row>
    <row r="38" customFormat="false" ht="12.75" hidden="false" customHeight="false" outlineLevel="0" collapsed="false">
      <c r="A38" s="194"/>
      <c r="B38" s="212"/>
      <c r="C38" s="213"/>
      <c r="D38" s="214" t="str">
        <f aca="false">IF(ISERROR(VLOOKUP($A38,'[1]liste reference'!$A$7:$D$906,2,0)),IF(ISERROR(VLOOKUP($A38,'[1]liste reference'!$B$7:$D$906,1,0)),"",VLOOKUP($A38,'[1]liste reference'!$B$7:$D$906,1,0)),VLOOKUP($A38,'[1]liste reference'!$A$7:$D$906,2,0))</f>
        <v/>
      </c>
      <c r="E38" s="214" t="n">
        <f aca="false">IF(D38="",0,VLOOKUP(D38,D$22:D37,1,0))</f>
        <v>0</v>
      </c>
      <c r="F38" s="224" t="n">
        <f aca="false">($B38*$B$7+$C38*$C$7)/100</f>
        <v>0</v>
      </c>
      <c r="G38" s="216"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7"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8" t="str">
        <f aca="false">IF(A38="NEW.COD",AA38,IF(ISTEXT($E38),"DEJA SAISI !",IF(A38="","",IF(ISERROR(VLOOKUP($A38,'[1]liste reference'!$A$7:$D$906,2,0)),IF(ISERROR(VLOOKUP($A38,'[1]liste reference'!$B$7:$D$906,1,0)),"code non répertorié ou synonyme",VLOOKUP($A38,'[1]liste reference'!$B$7:$D$906,1,0)),VLOOKUP(A38,'[1]liste reference'!$A$7:$D$906,2,0)))))</f>
        <v/>
      </c>
      <c r="L38" s="219"/>
      <c r="M38" s="219"/>
      <c r="N38" s="219"/>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0" t="n">
        <f aca="false">IF(ISERROR(Q38*J38),0,Q38*J38)</f>
        <v>0</v>
      </c>
      <c r="U38" s="208" t="str">
        <f aca="false">IF(AND(A38="",F38=0),"",IF(F38=0,"Il manque le(s) % de rec. !",""))</f>
        <v/>
      </c>
      <c r="V38" s="225"/>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194"/>
      <c r="B39" s="212"/>
      <c r="C39" s="213"/>
      <c r="D39" s="214" t="str">
        <f aca="false">IF(ISERROR(VLOOKUP($A39,'[1]liste reference'!$A$7:$D$906,2,0)),IF(ISERROR(VLOOKUP($A39,'[1]liste reference'!$B$7:$D$906,1,0)),"",VLOOKUP($A39,'[1]liste reference'!$B$7:$D$906,1,0)),VLOOKUP($A39,'[1]liste reference'!$A$7:$D$906,2,0))</f>
        <v/>
      </c>
      <c r="E39" s="214" t="n">
        <f aca="false">IF(D39="",0,VLOOKUP(D39,D$22:D38,1,0))</f>
        <v>0</v>
      </c>
      <c r="F39" s="224" t="n">
        <f aca="false">($B39*$B$7+$C39*$C$7)/100</f>
        <v>0</v>
      </c>
      <c r="G39" s="216"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7"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8" t="str">
        <f aca="false">IF(A39="NEW.COD",AA39,IF(ISTEXT($E39),"DEJA SAISI !",IF(A39="","",IF(ISERROR(VLOOKUP($A39,'[1]liste reference'!$A$7:$D$906,2,0)),IF(ISERROR(VLOOKUP($A39,'[1]liste reference'!$B$7:$D$906,1,0)),"code non répertorié ou synonyme",VLOOKUP($A39,'[1]liste reference'!$B$7:$D$906,1,0)),VLOOKUP(A39,'[1]liste reference'!$A$7:$D$906,2,0)))))</f>
        <v/>
      </c>
      <c r="L39" s="219"/>
      <c r="M39" s="219"/>
      <c r="N39" s="219"/>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0" t="n">
        <f aca="false">IF(ISERROR(Q39*J39),0,Q39*J39)</f>
        <v>0</v>
      </c>
      <c r="U39" s="208" t="str">
        <f aca="false">IF(AND(A39="",F39=0),"",IF(F39=0,"Il manque le(s) % de rec. !",""))</f>
        <v/>
      </c>
      <c r="V39" s="209"/>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194"/>
      <c r="B40" s="212"/>
      <c r="C40" s="213"/>
      <c r="D40" s="214" t="str">
        <f aca="false">IF(ISERROR(VLOOKUP($A40,'[1]liste reference'!$A$7:$D$906,2,0)),IF(ISERROR(VLOOKUP($A40,'[1]liste reference'!$B$7:$D$906,1,0)),"",VLOOKUP($A40,'[1]liste reference'!$B$7:$D$906,1,0)),VLOOKUP($A40,'[1]liste reference'!$A$7:$D$906,2,0))</f>
        <v/>
      </c>
      <c r="E40" s="214" t="n">
        <f aca="false">IF(D40="",0,VLOOKUP(D40,D$22:D39,1,0))</f>
        <v>0</v>
      </c>
      <c r="F40" s="224" t="n">
        <f aca="false">($B40*$B$7+$C40*$C$7)/100</f>
        <v>0</v>
      </c>
      <c r="G40" s="216"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7"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8" t="str">
        <f aca="false">IF(A40="NEW.COD",AA40,IF(ISTEXT($E40),"DEJA SAISI !",IF(A40="","",IF(ISERROR(VLOOKUP($A40,'[1]liste reference'!$A$7:$D$906,2,0)),IF(ISERROR(VLOOKUP($A40,'[1]liste reference'!$B$7:$D$906,1,0)),"code non répertorié ou synonyme",VLOOKUP($A40,'[1]liste reference'!$B$7:$D$906,1,0)),VLOOKUP(A40,'[1]liste reference'!$A$7:$D$906,2,0)))))</f>
        <v/>
      </c>
      <c r="L40" s="219"/>
      <c r="M40" s="219"/>
      <c r="N40" s="219"/>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0"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194"/>
      <c r="B41" s="212"/>
      <c r="C41" s="213"/>
      <c r="D41" s="214" t="str">
        <f aca="false">IF(ISERROR(VLOOKUP($A41,'[1]liste reference'!$A$7:$D$906,2,0)),IF(ISERROR(VLOOKUP($A41,'[1]liste reference'!$B$7:$D$906,1,0)),"",VLOOKUP($A41,'[1]liste reference'!$B$7:$D$906,1,0)),VLOOKUP($A41,'[1]liste reference'!$A$7:$D$906,2,0))</f>
        <v/>
      </c>
      <c r="E41" s="214" t="n">
        <f aca="false">IF(D41="",0,VLOOKUP(D41,D$22:D40,1,0))</f>
        <v>0</v>
      </c>
      <c r="F41" s="224" t="n">
        <f aca="false">($B41*$B$7+$C41*$C$7)/100</f>
        <v>0</v>
      </c>
      <c r="G41" s="216"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7"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8" t="str">
        <f aca="false">IF(A41="NEW.COD",AA41,IF(ISTEXT($E41),"DEJA SAISI !",IF(A41="","",IF(ISERROR(VLOOKUP($A41,'[1]liste reference'!$A$7:$D$906,2,0)),IF(ISERROR(VLOOKUP($A41,'[1]liste reference'!$B$7:$D$906,1,0)),"code non répertorié ou synonyme",VLOOKUP($A41,'[1]liste reference'!$B$7:$D$906,1,0)),VLOOKUP(A41,'[1]liste reference'!$A$7:$D$906,2,0)))))</f>
        <v/>
      </c>
      <c r="L41" s="219"/>
      <c r="M41" s="219"/>
      <c r="N41" s="219"/>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0"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194"/>
      <c r="B42" s="212"/>
      <c r="C42" s="213"/>
      <c r="D42" s="214" t="str">
        <f aca="false">IF(ISERROR(VLOOKUP($A42,'[1]liste reference'!$A$7:$D$906,2,0)),IF(ISERROR(VLOOKUP($A42,'[1]liste reference'!$B$7:$D$906,1,0)),"",VLOOKUP($A42,'[1]liste reference'!$B$7:$D$906,1,0)),VLOOKUP($A42,'[1]liste reference'!$A$7:$D$906,2,0))</f>
        <v/>
      </c>
      <c r="E42" s="214" t="n">
        <f aca="false">IF(D42="",0,VLOOKUP(D42,D$22:D41,1,0))</f>
        <v>0</v>
      </c>
      <c r="F42" s="224" t="n">
        <f aca="false">($B42*$B$7+$C42*$C$7)/100</f>
        <v>0</v>
      </c>
      <c r="G42" s="216"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7"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8" t="str">
        <f aca="false">IF(A42="NEW.COD",AA42,IF(ISTEXT($E42),"DEJA SAISI !",IF(A42="","",IF(ISERROR(VLOOKUP($A42,'[1]liste reference'!$A$7:$D$906,2,0)),IF(ISERROR(VLOOKUP($A42,'[1]liste reference'!$B$7:$D$906,1,0)),"code non répertorié ou synonyme",VLOOKUP($A42,'[1]liste reference'!$B$7:$D$906,1,0)),VLOOKUP(A42,'[1]liste reference'!$A$7:$D$906,2,0)))))</f>
        <v/>
      </c>
      <c r="L42" s="219"/>
      <c r="M42" s="219"/>
      <c r="N42" s="219"/>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0"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194"/>
      <c r="B43" s="212"/>
      <c r="C43" s="213"/>
      <c r="D43" s="214" t="str">
        <f aca="false">IF(ISERROR(VLOOKUP($A43,'[1]liste reference'!$A$7:$D$906,2,0)),IF(ISERROR(VLOOKUP($A43,'[1]liste reference'!$B$7:$D$906,1,0)),"",VLOOKUP($A43,'[1]liste reference'!$B$7:$D$906,1,0)),VLOOKUP($A43,'[1]liste reference'!$A$7:$D$906,2,0))</f>
        <v/>
      </c>
      <c r="E43" s="214" t="n">
        <f aca="false">IF(D43="",0,VLOOKUP(D43,D$22:D42,1,0))</f>
        <v>0</v>
      </c>
      <c r="F43" s="224" t="n">
        <f aca="false">($B43*$B$7+$C43*$C$7)/100</f>
        <v>0</v>
      </c>
      <c r="G43" s="216"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7"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8" t="str">
        <f aca="false">IF(A43="NEW.COD",AA43,IF(ISTEXT($E43),"DEJA SAISI !",IF(A43="","",IF(ISERROR(VLOOKUP($A43,'[1]liste reference'!$A$7:$D$906,2,0)),IF(ISERROR(VLOOKUP($A43,'[1]liste reference'!$B$7:$D$906,1,0)),"code non répertorié ou synonyme",VLOOKUP($A43,'[1]liste reference'!$B$7:$D$906,1,0)),VLOOKUP(A43,'[1]liste reference'!$A$7:$D$906,2,0)))))</f>
        <v/>
      </c>
      <c r="L43" s="219"/>
      <c r="M43" s="219"/>
      <c r="N43" s="219"/>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0"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194"/>
      <c r="B44" s="212"/>
      <c r="C44" s="213"/>
      <c r="D44" s="214" t="str">
        <f aca="false">IF(ISERROR(VLOOKUP($A44,'[1]liste reference'!$A$7:$D$906,2,0)),IF(ISERROR(VLOOKUP($A44,'[1]liste reference'!$B$7:$D$906,1,0)),"",VLOOKUP($A44,'[1]liste reference'!$B$7:$D$906,1,0)),VLOOKUP($A44,'[1]liste reference'!$A$7:$D$906,2,0))</f>
        <v/>
      </c>
      <c r="E44" s="214" t="n">
        <f aca="false">IF(D44="",0,VLOOKUP(D44,D$22:D43,1,0))</f>
        <v>0</v>
      </c>
      <c r="F44" s="224" t="n">
        <f aca="false">($B44*$B$7+$C44*$C$7)/100</f>
        <v>0</v>
      </c>
      <c r="G44" s="216"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7"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8" t="str">
        <f aca="false">IF(A44="NEW.COD",AA44,IF(ISTEXT($E44),"DEJA SAISI !",IF(A44="","",IF(ISERROR(VLOOKUP($A44,'[1]liste reference'!$A$7:$D$906,2,0)),IF(ISERROR(VLOOKUP($A44,'[1]liste reference'!$B$7:$D$906,1,0)),"code non répertorié ou synonyme",VLOOKUP($A44,'[1]liste reference'!$B$7:$D$906,1,0)),VLOOKUP(A44,'[1]liste reference'!$A$7:$D$906,2,0)))))</f>
        <v/>
      </c>
      <c r="L44" s="219"/>
      <c r="M44" s="219"/>
      <c r="N44" s="219"/>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0"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194"/>
      <c r="B45" s="212"/>
      <c r="C45" s="213"/>
      <c r="D45" s="214" t="str">
        <f aca="false">IF(ISERROR(VLOOKUP($A45,'[1]liste reference'!$A$7:$D$906,2,0)),IF(ISERROR(VLOOKUP($A45,'[1]liste reference'!$B$7:$D$906,1,0)),"",VLOOKUP($A45,'[1]liste reference'!$B$7:$D$906,1,0)),VLOOKUP($A45,'[1]liste reference'!$A$7:$D$906,2,0))</f>
        <v/>
      </c>
      <c r="E45" s="214" t="n">
        <f aca="false">IF(D45="",0,VLOOKUP(D45,D$22:D44,1,0))</f>
        <v>0</v>
      </c>
      <c r="F45" s="224" t="n">
        <f aca="false">($B45*$B$7+$C45*$C$7)/100</f>
        <v>0</v>
      </c>
      <c r="G45" s="216"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7"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8" t="str">
        <f aca="false">IF(A45="NEW.COD",AA45,IF(ISTEXT($E45),"DEJA SAISI !",IF(A45="","",IF(ISERROR(VLOOKUP($A45,'[1]liste reference'!$A$7:$D$906,2,0)),IF(ISERROR(VLOOKUP($A45,'[1]liste reference'!$B$7:$D$906,1,0)),"code non répertorié ou synonyme",VLOOKUP($A45,'[1]liste reference'!$B$7:$D$906,1,0)),VLOOKUP(A45,'[1]liste reference'!$A$7:$D$906,2,0)))))</f>
        <v/>
      </c>
      <c r="L45" s="219"/>
      <c r="M45" s="219"/>
      <c r="N45" s="219"/>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0"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194"/>
      <c r="B46" s="212"/>
      <c r="C46" s="213"/>
      <c r="D46" s="214" t="str">
        <f aca="false">IF(ISERROR(VLOOKUP($A46,'[1]liste reference'!$A$7:$D$906,2,0)),IF(ISERROR(VLOOKUP($A46,'[1]liste reference'!$B$7:$D$906,1,0)),"",VLOOKUP($A46,'[1]liste reference'!$B$7:$D$906,1,0)),VLOOKUP($A46,'[1]liste reference'!$A$7:$D$906,2,0))</f>
        <v/>
      </c>
      <c r="E46" s="214" t="n">
        <f aca="false">IF(D46="",0,VLOOKUP(D46,D$22:D45,1,0))</f>
        <v>0</v>
      </c>
      <c r="F46" s="224" t="n">
        <f aca="false">($B46*$B$7+$C46*$C$7)/100</f>
        <v>0</v>
      </c>
      <c r="G46" s="216"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7"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8" t="str">
        <f aca="false">IF(A46="NEW.COD",AA46,IF(ISTEXT($E46),"DEJA SAISI !",IF(A46="","",IF(ISERROR(VLOOKUP($A46,'[1]liste reference'!$A$7:$D$906,2,0)),IF(ISERROR(VLOOKUP($A46,'[1]liste reference'!$B$7:$D$906,1,0)),"code non répertorié ou synonyme",VLOOKUP($A46,'[1]liste reference'!$B$7:$D$906,1,0)),VLOOKUP(A46,'[1]liste reference'!$A$7:$D$906,2,0)))))</f>
        <v/>
      </c>
      <c r="L46" s="219"/>
      <c r="M46" s="219"/>
      <c r="N46" s="219"/>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0"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194"/>
      <c r="B47" s="212"/>
      <c r="C47" s="213"/>
      <c r="D47" s="214" t="str">
        <f aca="false">IF(ISERROR(VLOOKUP($A47,'[1]liste reference'!$A$7:$D$906,2,0)),IF(ISERROR(VLOOKUP($A47,'[1]liste reference'!$B$7:$D$906,1,0)),"",VLOOKUP($A47,'[1]liste reference'!$B$7:$D$906,1,0)),VLOOKUP($A47,'[1]liste reference'!$A$7:$D$906,2,0))</f>
        <v/>
      </c>
      <c r="E47" s="214" t="n">
        <f aca="false">IF(D47="",0,VLOOKUP(D47,D$22:D46,1,0))</f>
        <v>0</v>
      </c>
      <c r="F47" s="224" t="n">
        <f aca="false">($B47*$B$7+$C47*$C$7)/100</f>
        <v>0</v>
      </c>
      <c r="G47" s="216"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7"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8" t="str">
        <f aca="false">IF(A47="NEW.COD",AA47,IF(ISTEXT($E47),"DEJA SAISI !",IF(A47="","",IF(ISERROR(VLOOKUP($A47,'[1]liste reference'!$A$7:$D$906,2,0)),IF(ISERROR(VLOOKUP($A47,'[1]liste reference'!$B$7:$D$906,1,0)),"code non répertorié ou synonyme",VLOOKUP($A47,'[1]liste reference'!$B$7:$D$906,1,0)),VLOOKUP(A47,'[1]liste reference'!$A$7:$D$906,2,0)))))</f>
        <v/>
      </c>
      <c r="L47" s="219"/>
      <c r="M47" s="219"/>
      <c r="N47" s="219"/>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0"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194"/>
      <c r="B48" s="212"/>
      <c r="C48" s="213"/>
      <c r="D48" s="214" t="str">
        <f aca="false">IF(ISERROR(VLOOKUP($A48,'[1]liste reference'!$A$7:$D$906,2,0)),IF(ISERROR(VLOOKUP($A48,'[1]liste reference'!$B$7:$D$906,1,0)),"",VLOOKUP($A48,'[1]liste reference'!$B$7:$D$906,1,0)),VLOOKUP($A48,'[1]liste reference'!$A$7:$D$906,2,0))</f>
        <v/>
      </c>
      <c r="E48" s="214" t="n">
        <f aca="false">IF(D48="",0,VLOOKUP(D48,D$22:D47,1,0))</f>
        <v>0</v>
      </c>
      <c r="F48" s="224" t="n">
        <f aca="false">($B48*$B$7+$C48*$C$7)/100</f>
        <v>0</v>
      </c>
      <c r="G48" s="216"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7"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8" t="str">
        <f aca="false">IF(A48="NEW.COD",AA48,IF(ISTEXT($E48),"DEJA SAISI !",IF(A48="","",IF(ISERROR(VLOOKUP($A48,'[1]liste reference'!$A$7:$D$906,2,0)),IF(ISERROR(VLOOKUP($A48,'[1]liste reference'!$B$7:$D$906,1,0)),"code non répertorié ou synonyme",VLOOKUP($A48,'[1]liste reference'!$B$7:$D$906,1,0)),VLOOKUP(A48,'[1]liste reference'!$A$7:$D$906,2,0)))))</f>
        <v/>
      </c>
      <c r="L48" s="219"/>
      <c r="M48" s="219"/>
      <c r="N48" s="219"/>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0"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194"/>
      <c r="B49" s="212"/>
      <c r="C49" s="213"/>
      <c r="D49" s="214" t="str">
        <f aca="false">IF(ISERROR(VLOOKUP($A49,'[1]liste reference'!$A$7:$D$906,2,0)),IF(ISERROR(VLOOKUP($A49,'[1]liste reference'!$B$7:$D$906,1,0)),"",VLOOKUP($A49,'[1]liste reference'!$B$7:$D$906,1,0)),VLOOKUP($A49,'[1]liste reference'!$A$7:$D$906,2,0))</f>
        <v/>
      </c>
      <c r="E49" s="214" t="n">
        <f aca="false">IF(D49="",0,VLOOKUP(D49,D$22:D48,1,0))</f>
        <v>0</v>
      </c>
      <c r="F49" s="224" t="n">
        <f aca="false">($B49*$B$7+$C49*$C$7)/100</f>
        <v>0</v>
      </c>
      <c r="G49" s="216"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7"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8" t="str">
        <f aca="false">IF(A49="NEW.COD",AA49,IF(ISTEXT($E49),"DEJA SAISI !",IF(A49="","",IF(ISERROR(VLOOKUP($A49,'[1]liste reference'!$A$7:$D$906,2,0)),IF(ISERROR(VLOOKUP($A49,'[1]liste reference'!$B$7:$D$906,1,0)),"code non répertorié ou synonyme",VLOOKUP($A49,'[1]liste reference'!$B$7:$D$906,1,0)),VLOOKUP(A49,'[1]liste reference'!$A$7:$D$906,2,0)))))</f>
        <v/>
      </c>
      <c r="L49" s="219"/>
      <c r="M49" s="219"/>
      <c r="N49" s="219"/>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0"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194"/>
      <c r="B50" s="212"/>
      <c r="C50" s="213"/>
      <c r="D50" s="214" t="str">
        <f aca="false">IF(ISERROR(VLOOKUP($A50,'[1]liste reference'!$A$7:$D$906,2,0)),IF(ISERROR(VLOOKUP($A50,'[1]liste reference'!$B$7:$D$906,1,0)),"",VLOOKUP($A50,'[1]liste reference'!$B$7:$D$906,1,0)),VLOOKUP($A50,'[1]liste reference'!$A$7:$D$906,2,0))</f>
        <v/>
      </c>
      <c r="E50" s="214" t="n">
        <f aca="false">IF(D50="",0,VLOOKUP(D50,D$22:D49,1,0))</f>
        <v>0</v>
      </c>
      <c r="F50" s="224" t="n">
        <f aca="false">($B50*$B$7+$C50*$C$7)/100</f>
        <v>0</v>
      </c>
      <c r="G50" s="216"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7"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8" t="str">
        <f aca="false">IF(A50="NEW.COD",AA50,IF(ISTEXT($E50),"DEJA SAISI !",IF(A50="","",IF(ISERROR(VLOOKUP($A50,'[1]liste reference'!$A$7:$D$906,2,0)),IF(ISERROR(VLOOKUP($A50,'[1]liste reference'!$B$7:$D$906,1,0)),"code non répertorié ou synonyme",VLOOKUP($A50,'[1]liste reference'!$B$7:$D$906,1,0)),VLOOKUP(A50,'[1]liste reference'!$A$7:$D$906,2,0)))))</f>
        <v/>
      </c>
      <c r="L50" s="219"/>
      <c r="M50" s="219"/>
      <c r="N50" s="219"/>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0"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194"/>
      <c r="B51" s="212"/>
      <c r="C51" s="213"/>
      <c r="D51" s="214" t="str">
        <f aca="false">IF(ISERROR(VLOOKUP($A51,'[1]liste reference'!$A$7:$D$906,2,0)),IF(ISERROR(VLOOKUP($A51,'[1]liste reference'!$B$7:$D$906,1,0)),"",VLOOKUP($A51,'[1]liste reference'!$B$7:$D$906,1,0)),VLOOKUP($A51,'[1]liste reference'!$A$7:$D$906,2,0))</f>
        <v/>
      </c>
      <c r="E51" s="214" t="n">
        <f aca="false">IF(D51="",0,VLOOKUP(D51,D$22:D50,1,0))</f>
        <v>0</v>
      </c>
      <c r="F51" s="224" t="n">
        <f aca="false">($B51*$B$7+$C51*$C$7)/100</f>
        <v>0</v>
      </c>
      <c r="G51" s="216"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7"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8" t="str">
        <f aca="false">IF(A51="NEW.COD",AA51,IF(ISTEXT($E51),"DEJA SAISI !",IF(A51="","",IF(ISERROR(VLOOKUP($A51,'[1]liste reference'!$A$7:$D$906,2,0)),IF(ISERROR(VLOOKUP($A51,'[1]liste reference'!$B$7:$D$906,1,0)),"code non répertorié ou synonyme",VLOOKUP($A51,'[1]liste reference'!$B$7:$D$906,1,0)),VLOOKUP(A51,'[1]liste reference'!$A$7:$D$906,2,0)))))</f>
        <v/>
      </c>
      <c r="L51" s="219"/>
      <c r="M51" s="219"/>
      <c r="N51" s="219"/>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0"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194"/>
      <c r="B52" s="212"/>
      <c r="C52" s="213"/>
      <c r="D52" s="214" t="str">
        <f aca="false">IF(ISERROR(VLOOKUP($A52,'[1]liste reference'!$A$7:$D$906,2,0)),IF(ISERROR(VLOOKUP($A52,'[1]liste reference'!$B$7:$D$906,1,0)),"",VLOOKUP($A52,'[1]liste reference'!$B$7:$D$906,1,0)),VLOOKUP($A52,'[1]liste reference'!$A$7:$D$906,2,0))</f>
        <v/>
      </c>
      <c r="E52" s="214" t="n">
        <f aca="false">IF(D52="",0,VLOOKUP(D52,D$22:D51,1,0))</f>
        <v>0</v>
      </c>
      <c r="F52" s="224" t="n">
        <f aca="false">($B52*$B$7+$C52*$C$7)/100</f>
        <v>0</v>
      </c>
      <c r="G52" s="216"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7"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8" t="str">
        <f aca="false">IF(A52="NEW.COD",AA52,IF(ISTEXT($E52),"DEJA SAISI !",IF(A52="","",IF(ISERROR(VLOOKUP($A52,'[1]liste reference'!$A$7:$D$906,2,0)),IF(ISERROR(VLOOKUP($A52,'[1]liste reference'!$B$7:$D$906,1,0)),"code non répertorié ou synonyme",VLOOKUP($A52,'[1]liste reference'!$B$7:$D$906,1,0)),VLOOKUP(A52,'[1]liste reference'!$A$7:$D$906,2,0)))))</f>
        <v/>
      </c>
      <c r="L52" s="219"/>
      <c r="M52" s="219"/>
      <c r="N52" s="219"/>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0"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194"/>
      <c r="B53" s="212"/>
      <c r="C53" s="213"/>
      <c r="D53" s="214" t="str">
        <f aca="false">IF(ISERROR(VLOOKUP($A53,'[1]liste reference'!$A$7:$D$906,2,0)),IF(ISERROR(VLOOKUP($A53,'[1]liste reference'!$B$7:$D$906,1,0)),"",VLOOKUP($A53,'[1]liste reference'!$B$7:$D$906,1,0)),VLOOKUP($A53,'[1]liste reference'!$A$7:$D$906,2,0))</f>
        <v/>
      </c>
      <c r="E53" s="214" t="n">
        <f aca="false">IF(D53="",0,VLOOKUP(D53,D$22:D52,1,0))</f>
        <v>0</v>
      </c>
      <c r="F53" s="224" t="n">
        <f aca="false">($B53*$B$7+$C53*$C$7)/100</f>
        <v>0</v>
      </c>
      <c r="G53" s="216"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7"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8" t="str">
        <f aca="false">IF(A53="NEW.COD",AA53,IF(ISTEXT($E53),"DEJA SAISI !",IF(A53="","",IF(ISERROR(VLOOKUP($A53,'[1]liste reference'!$A$7:$D$906,2,0)),IF(ISERROR(VLOOKUP($A53,'[1]liste reference'!$B$7:$D$906,1,0)),"code non répertorié ou synonyme",VLOOKUP($A53,'[1]liste reference'!$B$7:$D$906,1,0)),VLOOKUP(A53,'[1]liste reference'!$A$7:$D$906,2,0)))))</f>
        <v/>
      </c>
      <c r="L53" s="219"/>
      <c r="M53" s="219"/>
      <c r="N53" s="219"/>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0"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194"/>
      <c r="B54" s="212"/>
      <c r="C54" s="213"/>
      <c r="D54" s="214" t="str">
        <f aca="false">IF(ISERROR(VLOOKUP($A54,'[1]liste reference'!$A$7:$D$906,2,0)),IF(ISERROR(VLOOKUP($A54,'[1]liste reference'!$B$7:$D$906,1,0)),"",VLOOKUP($A54,'[1]liste reference'!$B$7:$D$906,1,0)),VLOOKUP($A54,'[1]liste reference'!$A$7:$D$906,2,0))</f>
        <v/>
      </c>
      <c r="E54" s="214" t="n">
        <f aca="false">IF(D54="",0,VLOOKUP(D54,D$22:D53,1,0))</f>
        <v>0</v>
      </c>
      <c r="F54" s="224" t="n">
        <f aca="false">($B54*$B$7+$C54*$C$7)/100</f>
        <v>0</v>
      </c>
      <c r="G54" s="216"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7"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8" t="str">
        <f aca="false">IF(A54="NEW.COD",AA54,IF(ISTEXT($E54),"DEJA SAISI !",IF(A54="","",IF(ISERROR(VLOOKUP($A54,'[1]liste reference'!$A$7:$D$906,2,0)),IF(ISERROR(VLOOKUP($A54,'[1]liste reference'!$B$7:$D$906,1,0)),"code non répertorié ou synonyme",VLOOKUP($A54,'[1]liste reference'!$B$7:$D$906,1,0)),VLOOKUP(A54,'[1]liste reference'!$A$7:$D$906,2,0)))))</f>
        <v/>
      </c>
      <c r="L54" s="219"/>
      <c r="M54" s="219"/>
      <c r="N54" s="219"/>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0"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194"/>
      <c r="B55" s="212"/>
      <c r="C55" s="213"/>
      <c r="D55" s="214" t="str">
        <f aca="false">IF(ISERROR(VLOOKUP($A55,'[1]liste reference'!$A$7:$D$906,2,0)),IF(ISERROR(VLOOKUP($A55,'[1]liste reference'!$B$7:$D$906,1,0)),"",VLOOKUP($A55,'[1]liste reference'!$B$7:$D$906,1,0)),VLOOKUP($A55,'[1]liste reference'!$A$7:$D$906,2,0))</f>
        <v/>
      </c>
      <c r="E55" s="214" t="n">
        <f aca="false">IF(D55="",0,VLOOKUP(D55,D$22:D54,1,0))</f>
        <v>0</v>
      </c>
      <c r="F55" s="224" t="n">
        <f aca="false">($B55*$B$7+$C55*$C$7)/100</f>
        <v>0</v>
      </c>
      <c r="G55" s="216"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7"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8" t="str">
        <f aca="false">IF(A55="NEW.COD",AA55,IF(ISTEXT($E55),"DEJA SAISI !",IF(A55="","",IF(ISERROR(VLOOKUP($A55,'[1]liste reference'!$A$7:$D$906,2,0)),IF(ISERROR(VLOOKUP($A55,'[1]liste reference'!$B$7:$D$906,1,0)),"code non répertorié ou synonyme",VLOOKUP($A55,'[1]liste reference'!$B$7:$D$906,1,0)),VLOOKUP(A55,'[1]liste reference'!$A$7:$D$906,2,0)))))</f>
        <v/>
      </c>
      <c r="L55" s="219"/>
      <c r="M55" s="219"/>
      <c r="N55" s="219"/>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0"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194"/>
      <c r="B56" s="212"/>
      <c r="C56" s="213"/>
      <c r="D56" s="214" t="str">
        <f aca="false">IF(ISERROR(VLOOKUP($A56,'[1]liste reference'!$A$7:$D$906,2,0)),IF(ISERROR(VLOOKUP($A56,'[1]liste reference'!$B$7:$D$906,1,0)),"",VLOOKUP($A56,'[1]liste reference'!$B$7:$D$906,1,0)),VLOOKUP($A56,'[1]liste reference'!$A$7:$D$906,2,0))</f>
        <v/>
      </c>
      <c r="E56" s="214" t="n">
        <f aca="false">IF(D56="",0,VLOOKUP(D56,D$22:D55,1,0))</f>
        <v>0</v>
      </c>
      <c r="F56" s="224" t="n">
        <f aca="false">($B56*$B$7+$C56*$C$7)/100</f>
        <v>0</v>
      </c>
      <c r="G56" s="216"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7"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8" t="str">
        <f aca="false">IF(A56="NEW.COD",AA56,IF(ISTEXT($E56),"DEJA SAISI !",IF(A56="","",IF(ISERROR(VLOOKUP($A56,'[1]liste reference'!$A$7:$D$906,2,0)),IF(ISERROR(VLOOKUP($A56,'[1]liste reference'!$B$7:$D$906,1,0)),"code non répertorié ou synonyme",VLOOKUP($A56,'[1]liste reference'!$B$7:$D$906,1,0)),VLOOKUP(A56,'[1]liste reference'!$A$7:$D$906,2,0)))))</f>
        <v/>
      </c>
      <c r="L56" s="219"/>
      <c r="M56" s="219"/>
      <c r="N56" s="219"/>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0"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194"/>
      <c r="B57" s="212"/>
      <c r="C57" s="213"/>
      <c r="D57" s="214" t="str">
        <f aca="false">IF(ISERROR(VLOOKUP($A57,'[1]liste reference'!$A$7:$D$906,2,0)),IF(ISERROR(VLOOKUP($A57,'[1]liste reference'!$B$7:$D$906,1,0)),"",VLOOKUP($A57,'[1]liste reference'!$B$7:$D$906,1,0)),VLOOKUP($A57,'[1]liste reference'!$A$7:$D$906,2,0))</f>
        <v/>
      </c>
      <c r="E57" s="214" t="n">
        <f aca="false">IF(D57="",0,VLOOKUP(D57,D$22:D56,1,0))</f>
        <v>0</v>
      </c>
      <c r="F57" s="224" t="n">
        <f aca="false">($B57*$B$7+$C57*$C$7)/100</f>
        <v>0</v>
      </c>
      <c r="G57" s="216"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7"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8" t="str">
        <f aca="false">IF(A57="NEW.COD",AA57,IF(ISTEXT($E57),"DEJA SAISI !",IF(A57="","",IF(ISERROR(VLOOKUP($A57,'[1]liste reference'!$A$7:$D$906,2,0)),IF(ISERROR(VLOOKUP($A57,'[1]liste reference'!$B$7:$D$906,1,0)),"code non répertorié ou synonyme",VLOOKUP($A57,'[1]liste reference'!$B$7:$D$906,1,0)),VLOOKUP(A57,'[1]liste reference'!$A$7:$D$906,2,0)))))</f>
        <v/>
      </c>
      <c r="L57" s="219"/>
      <c r="M57" s="219"/>
      <c r="N57" s="219"/>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0"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194"/>
      <c r="B58" s="212"/>
      <c r="C58" s="213"/>
      <c r="D58" s="214" t="str">
        <f aca="false">IF(ISERROR(VLOOKUP($A58,'[1]liste reference'!$A$7:$D$906,2,0)),IF(ISERROR(VLOOKUP($A58,'[1]liste reference'!$B$7:$D$906,1,0)),"",VLOOKUP($A58,'[1]liste reference'!$B$7:$D$906,1,0)),VLOOKUP($A58,'[1]liste reference'!$A$7:$D$906,2,0))</f>
        <v/>
      </c>
      <c r="E58" s="214" t="n">
        <f aca="false">IF(D58="",0,VLOOKUP(D58,D$22:D57,1,0))</f>
        <v>0</v>
      </c>
      <c r="F58" s="224" t="n">
        <f aca="false">($B58*$B$7+$C58*$C$7)/100</f>
        <v>0</v>
      </c>
      <c r="G58" s="216"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7"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8" t="str">
        <f aca="false">IF(A58="NEW.COD",AA58,IF(ISTEXT($E58),"DEJA SAISI !",IF(A58="","",IF(ISERROR(VLOOKUP($A58,'[1]liste reference'!$A$7:$D$906,2,0)),IF(ISERROR(VLOOKUP($A58,'[1]liste reference'!$B$7:$D$906,1,0)),"code non répertorié ou synonyme",VLOOKUP($A58,'[1]liste reference'!$B$7:$D$906,1,0)),VLOOKUP(A58,'[1]liste reference'!$A$7:$D$906,2,0)))))</f>
        <v/>
      </c>
      <c r="L58" s="219"/>
      <c r="M58" s="219"/>
      <c r="N58" s="219"/>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0"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194"/>
      <c r="B59" s="212"/>
      <c r="C59" s="213"/>
      <c r="D59" s="214" t="str">
        <f aca="false">IF(ISERROR(VLOOKUP($A59,'[1]liste reference'!$A$7:$D$906,2,0)),IF(ISERROR(VLOOKUP($A59,'[1]liste reference'!$B$7:$D$906,1,0)),"",VLOOKUP($A59,'[1]liste reference'!$B$7:$D$906,1,0)),VLOOKUP($A59,'[1]liste reference'!$A$7:$D$906,2,0))</f>
        <v/>
      </c>
      <c r="E59" s="214" t="n">
        <f aca="false">IF(D59="",0,VLOOKUP(D59,D$22:D58,1,0))</f>
        <v>0</v>
      </c>
      <c r="F59" s="224" t="n">
        <f aca="false">($B59*$B$7+$C59*$C$7)/100</f>
        <v>0</v>
      </c>
      <c r="G59" s="216"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7"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8" t="str">
        <f aca="false">IF(A59="NEW.COD",AA59,IF(ISTEXT($E59),"DEJA SAISI !",IF(A59="","",IF(ISERROR(VLOOKUP($A59,'[1]liste reference'!$A$7:$D$906,2,0)),IF(ISERROR(VLOOKUP($A59,'[1]liste reference'!$B$7:$D$906,1,0)),"code non répertorié ou synonyme",VLOOKUP($A59,'[1]liste reference'!$B$7:$D$906,1,0)),VLOOKUP(A59,'[1]liste reference'!$A$7:$D$906,2,0)))))</f>
        <v/>
      </c>
      <c r="L59" s="219"/>
      <c r="M59" s="219"/>
      <c r="N59" s="219"/>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0"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194"/>
      <c r="B60" s="212"/>
      <c r="C60" s="213"/>
      <c r="D60" s="214" t="str">
        <f aca="false">IF(ISERROR(VLOOKUP($A60,'[1]liste reference'!$A$7:$D$906,2,0)),IF(ISERROR(VLOOKUP($A60,'[1]liste reference'!$B$7:$D$906,1,0)),"",VLOOKUP($A60,'[1]liste reference'!$B$7:$D$906,1,0)),VLOOKUP($A60,'[1]liste reference'!$A$7:$D$906,2,0))</f>
        <v/>
      </c>
      <c r="E60" s="214" t="n">
        <f aca="false">IF(D60="",0,VLOOKUP(D60,D$22:D53,1,0))</f>
        <v>0</v>
      </c>
      <c r="F60" s="224" t="n">
        <f aca="false">($B60*$B$7+$C60*$C$7)/100</f>
        <v>0</v>
      </c>
      <c r="G60" s="216"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7"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8" t="str">
        <f aca="false">IF(A60="NEW.COD",AA60,IF(ISTEXT($E60),"DEJA SAISI !",IF(A60="","",IF(ISERROR(VLOOKUP($A60,'[1]liste reference'!$A$7:$D$906,2,0)),IF(ISERROR(VLOOKUP($A60,'[1]liste reference'!$B$7:$D$906,1,0)),"code non répertorié ou synonyme",VLOOKUP($A60,'[1]liste reference'!$B$7:$D$906,1,0)),VLOOKUP(A60,'[1]liste reference'!$A$7:$D$906,2,0)))))</f>
        <v/>
      </c>
      <c r="L60" s="219"/>
      <c r="M60" s="219"/>
      <c r="N60" s="219"/>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0"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194"/>
      <c r="B61" s="212"/>
      <c r="C61" s="213"/>
      <c r="D61" s="214" t="str">
        <f aca="false">IF(ISERROR(VLOOKUP($A61,'[1]liste reference'!$A$7:$D$906,2,0)),IF(ISERROR(VLOOKUP($A61,'[1]liste reference'!$B$7:$D$906,1,0)),"",VLOOKUP($A61,'[1]liste reference'!$B$7:$D$906,1,0)),VLOOKUP($A61,'[1]liste reference'!$A$7:$D$906,2,0))</f>
        <v/>
      </c>
      <c r="E61" s="214" t="n">
        <f aca="false">IF(D61="",0,VLOOKUP(D61,D$22:D53,1,0))</f>
        <v>0</v>
      </c>
      <c r="F61" s="224" t="n">
        <f aca="false">($B61*$B$7+$C61*$C$7)/100</f>
        <v>0</v>
      </c>
      <c r="G61" s="216"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7"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8" t="str">
        <f aca="false">IF(A61="NEW.COD",AA61,IF(ISTEXT($E61),"DEJA SAISI !",IF(A61="","",IF(ISERROR(VLOOKUP($A61,'[1]liste reference'!$A$7:$D$906,2,0)),IF(ISERROR(VLOOKUP($A61,'[1]liste reference'!$B$7:$D$906,1,0)),"code non répertorié ou synonyme",VLOOKUP($A61,'[1]liste reference'!$B$7:$D$906,1,0)),VLOOKUP(A61,'[1]liste reference'!$A$7:$D$906,2,0)))))</f>
        <v/>
      </c>
      <c r="L61" s="219"/>
      <c r="M61" s="219"/>
      <c r="N61" s="219"/>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0"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194"/>
      <c r="B62" s="212"/>
      <c r="C62" s="213"/>
      <c r="D62" s="214" t="str">
        <f aca="false">IF(ISERROR(VLOOKUP($A62,'[1]liste reference'!$A$7:$D$906,2,0)),IF(ISERROR(VLOOKUP($A62,'[1]liste reference'!$B$7:$D$906,1,0)),"",VLOOKUP($A62,'[1]liste reference'!$B$7:$D$906,1,0)),VLOOKUP($A62,'[1]liste reference'!$A$7:$D$906,2,0))</f>
        <v/>
      </c>
      <c r="E62" s="214" t="n">
        <f aca="false">IF(D62="",0,VLOOKUP(D62,D$22:D54,1,0))</f>
        <v>0</v>
      </c>
      <c r="F62" s="224" t="n">
        <f aca="false">($B62*$B$7+$C62*$C$7)/100</f>
        <v>0</v>
      </c>
      <c r="G62" s="216"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7"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8" t="str">
        <f aca="false">IF(A62="NEW.COD",AA62,IF(ISTEXT($E62),"DEJA SAISI !",IF(A62="","",IF(ISERROR(VLOOKUP($A62,'[1]liste reference'!$A$7:$D$906,2,0)),IF(ISERROR(VLOOKUP($A62,'[1]liste reference'!$B$7:$D$906,1,0)),"code non répertorié ou synonyme",VLOOKUP($A62,'[1]liste reference'!$B$7:$D$906,1,0)),VLOOKUP(A62,'[1]liste reference'!$A$7:$D$906,2,0)))))</f>
        <v/>
      </c>
      <c r="L62" s="219"/>
      <c r="M62" s="219"/>
      <c r="N62" s="219"/>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0"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true" outlineLevel="0" collapsed="false">
      <c r="A63" s="194"/>
      <c r="B63" s="212"/>
      <c r="C63" s="213"/>
      <c r="D63" s="214" t="str">
        <f aca="false">IF(ISERROR(VLOOKUP($A63,'[1]liste reference'!$A$7:$D$906,2,0)),IF(ISERROR(VLOOKUP($A63,'[1]liste reference'!$B$7:$D$906,1,0)),"",VLOOKUP($A63,'[1]liste reference'!$B$7:$D$906,1,0)),VLOOKUP($A63,'[1]liste reference'!$A$7:$D$906,2,0))</f>
        <v/>
      </c>
      <c r="E63" s="214" t="n">
        <f aca="false">IF(D63="",0,VLOOKUP(D63,D$22:D51,1,0))</f>
        <v>0</v>
      </c>
      <c r="F63" s="224" t="n">
        <f aca="false">($B63*$B$7+$C63*$C$7)/100</f>
        <v>0</v>
      </c>
      <c r="G63" s="216"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7"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8" t="str">
        <f aca="false">IF(A63="NEW.COD",AA63,IF(ISTEXT($E63),"DEJA SAISI !",IF(A63="","",IF(ISERROR(VLOOKUP($A63,'[1]liste reference'!$A$7:$D$906,2,0)),IF(ISERROR(VLOOKUP($A63,'[1]liste reference'!$B$7:$D$906,1,0)),"code non répertorié ou synonyme",VLOOKUP($A63,'[1]liste reference'!$B$7:$D$906,1,0)),VLOOKUP(A63,'[1]liste reference'!$A$7:$D$906,2,0)))))</f>
        <v/>
      </c>
      <c r="L63" s="219"/>
      <c r="M63" s="219"/>
      <c r="N63" s="219"/>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0"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false" outlineLevel="0" collapsed="false">
      <c r="A64" s="194"/>
      <c r="B64" s="212"/>
      <c r="C64" s="213"/>
      <c r="D64" s="214" t="str">
        <f aca="false">IF(ISERROR(VLOOKUP($A64,'[1]liste reference'!$A$7:$D$906,2,0)),IF(ISERROR(VLOOKUP($A64,'[1]liste reference'!$B$7:$D$906,1,0)),"",VLOOKUP($A64,'[1]liste reference'!$B$7:$D$906,1,0)),VLOOKUP($A64,'[1]liste reference'!$A$7:$D$906,2,0))</f>
        <v/>
      </c>
      <c r="E64" s="214" t="n">
        <f aca="false">IF(D64="",0,VLOOKUP(D64,D$22:D52,1,0))</f>
        <v>0</v>
      </c>
      <c r="F64" s="224" t="n">
        <f aca="false">($B64*$B$7+$C64*$C$7)/100</f>
        <v>0</v>
      </c>
      <c r="G64" s="216"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7"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8" t="str">
        <f aca="false">IF(A64="NEW.COD",AA64,IF(ISTEXT($E64),"DEJA SAISI !",IF(A64="","",IF(ISERROR(VLOOKUP($A64,'[1]liste reference'!$A$7:$D$906,2,0)),IF(ISERROR(VLOOKUP($A64,'[1]liste reference'!$B$7:$D$906,1,0)),"code non répertorié ou synonyme",VLOOKUP($A64,'[1]liste reference'!$B$7:$D$906,1,0)),VLOOKUP(A64,'[1]liste reference'!$A$7:$D$906,2,0)))))</f>
        <v/>
      </c>
      <c r="L64" s="219"/>
      <c r="M64" s="219"/>
      <c r="N64" s="219"/>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0"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194"/>
      <c r="B65" s="212"/>
      <c r="C65" s="213"/>
      <c r="D65" s="214" t="str">
        <f aca="false">IF(ISERROR(VLOOKUP($A65,'[1]liste reference'!$A$7:$D$906,2,0)),IF(ISERROR(VLOOKUP($A65,'[1]liste reference'!$B$7:$D$906,1,0)),"",VLOOKUP($A65,'[1]liste reference'!$B$7:$D$906,1,0)),VLOOKUP($A65,'[1]liste reference'!$A$7:$D$906,2,0))</f>
        <v/>
      </c>
      <c r="E65" s="214" t="n">
        <f aca="false">IF(D65="",0,VLOOKUP(D65,D$22:D50,1,0))</f>
        <v>0</v>
      </c>
      <c r="F65" s="224" t="n">
        <f aca="false">($B65*$B$7+$C65*$C$7)/100</f>
        <v>0</v>
      </c>
      <c r="G65" s="216"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7"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8" t="str">
        <f aca="false">IF(A65="NEW.COD",AA65,IF(ISTEXT($E65),"DEJA SAISI !",IF(A65="","",IF(ISERROR(VLOOKUP($A65,'[1]liste reference'!$A$7:$D$906,2,0)),IF(ISERROR(VLOOKUP($A65,'[1]liste reference'!$B$7:$D$906,1,0)),"code non répertorié ou synonyme",VLOOKUP($A65,'[1]liste reference'!$B$7:$D$906,1,0)),VLOOKUP(A65,'[1]liste reference'!$A$7:$D$906,2,0)))))</f>
        <v/>
      </c>
      <c r="L65" s="219"/>
      <c r="M65" s="219"/>
      <c r="N65" s="219"/>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0"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194"/>
      <c r="B66" s="212"/>
      <c r="C66" s="213"/>
      <c r="D66" s="214" t="str">
        <f aca="false">IF(ISERROR(VLOOKUP($A66,'[1]liste reference'!$A$7:$D$906,2,0)),IF(ISERROR(VLOOKUP($A66,'[1]liste reference'!$B$7:$D$906,1,0)),"",VLOOKUP($A66,'[1]liste reference'!$B$7:$D$906,1,0)),VLOOKUP($A66,'[1]liste reference'!$A$7:$D$906,2,0))</f>
        <v/>
      </c>
      <c r="E66" s="214" t="n">
        <f aca="false">IF(D66="",0,VLOOKUP(D66,D$22:D51,1,0))</f>
        <v>0</v>
      </c>
      <c r="F66" s="224" t="n">
        <f aca="false">($B66*$B$7+$C66*$C$7)/100</f>
        <v>0</v>
      </c>
      <c r="G66" s="216"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7"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8" t="str">
        <f aca="false">IF(A66="NEW.COD",AA66,IF(ISTEXT($E66),"DEJA SAISI !",IF(A66="","",IF(ISERROR(VLOOKUP($A66,'[1]liste reference'!$A$7:$D$906,2,0)),IF(ISERROR(VLOOKUP($A66,'[1]liste reference'!$B$7:$D$906,1,0)),"code non répertorié ou synonyme",VLOOKUP($A66,'[1]liste reference'!$B$7:$D$906,1,0)),VLOOKUP(A66,'[1]liste reference'!$A$7:$D$906,2,0)))))</f>
        <v/>
      </c>
      <c r="L66" s="219"/>
      <c r="M66" s="219"/>
      <c r="N66" s="219"/>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0"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194"/>
      <c r="B67" s="212"/>
      <c r="C67" s="213"/>
      <c r="D67" s="214" t="str">
        <f aca="false">IF(ISERROR(VLOOKUP($A67,'[1]liste reference'!$A$7:$D$906,2,0)),IF(ISERROR(VLOOKUP($A67,'[1]liste reference'!$B$7:$D$906,1,0)),"",VLOOKUP($A67,'[1]liste reference'!$B$7:$D$906,1,0)),VLOOKUP($A67,'[1]liste reference'!$A$7:$D$906,2,0))</f>
        <v/>
      </c>
      <c r="E67" s="214" t="n">
        <f aca="false">IF(D67="",0,VLOOKUP(D67,D$22:D52,1,0))</f>
        <v>0</v>
      </c>
      <c r="F67" s="224" t="n">
        <f aca="false">($B67*$B$7+$C67*$C$7)/100</f>
        <v>0</v>
      </c>
      <c r="G67" s="216"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7"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8" t="str">
        <f aca="false">IF(A67="NEW.COD",AA67,IF(ISTEXT($E67),"DEJA SAISI !",IF(A67="","",IF(ISERROR(VLOOKUP($A67,'[1]liste reference'!$A$7:$D$906,2,0)),IF(ISERROR(VLOOKUP($A67,'[1]liste reference'!$B$7:$D$906,1,0)),"code non répertorié ou synonyme",VLOOKUP($A67,'[1]liste reference'!$B$7:$D$906,1,0)),VLOOKUP(A67,'[1]liste reference'!$A$7:$D$906,2,0)))))</f>
        <v/>
      </c>
      <c r="L67" s="219"/>
      <c r="M67" s="219"/>
      <c r="N67" s="219"/>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0"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194"/>
      <c r="B68" s="212"/>
      <c r="C68" s="213"/>
      <c r="D68" s="214" t="str">
        <f aca="false">IF(ISERROR(VLOOKUP($A68,'[1]liste reference'!$A$7:$D$906,2,0)),IF(ISERROR(VLOOKUP($A68,'[1]liste reference'!$B$7:$D$906,1,0)),"",VLOOKUP($A68,'[1]liste reference'!$B$7:$D$906,1,0)),VLOOKUP($A68,'[1]liste reference'!$A$7:$D$906,2,0))</f>
        <v/>
      </c>
      <c r="E68" s="214" t="n">
        <f aca="false">IF(D68="",0,VLOOKUP(D68,D$22:D53,1,0))</f>
        <v>0</v>
      </c>
      <c r="F68" s="224" t="n">
        <f aca="false">($B68*$B$7+$C68*$C$7)/100</f>
        <v>0</v>
      </c>
      <c r="G68" s="216"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7"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8" t="str">
        <f aca="false">IF(A68="NEW.COD",AA68,IF(ISTEXT($E68),"DEJA SAISI !",IF(A68="","",IF(ISERROR(VLOOKUP($A68,'[1]liste reference'!$A$7:$D$906,2,0)),IF(ISERROR(VLOOKUP($A68,'[1]liste reference'!$B$7:$D$906,1,0)),"code non répertorié ou synonyme",VLOOKUP($A68,'[1]liste reference'!$B$7:$D$906,1,0)),VLOOKUP(A68,'[1]liste reference'!$A$7:$D$906,2,0)))))</f>
        <v/>
      </c>
      <c r="L68" s="219"/>
      <c r="M68" s="219"/>
      <c r="N68" s="219"/>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0"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194"/>
      <c r="B69" s="212"/>
      <c r="C69" s="213"/>
      <c r="D69" s="214" t="str">
        <f aca="false">IF(ISERROR(VLOOKUP($A69,'[1]liste reference'!$A$7:$D$906,2,0)),IF(ISERROR(VLOOKUP($A69,'[1]liste reference'!$B$7:$D$906,1,0)),"",VLOOKUP($A69,'[1]liste reference'!$B$7:$D$906,1,0)),VLOOKUP($A69,'[1]liste reference'!$A$7:$D$906,2,0))</f>
        <v/>
      </c>
      <c r="E69" s="214" t="n">
        <f aca="false">IF(D69="",0,VLOOKUP(D69,D$22:D54,1,0))</f>
        <v>0</v>
      </c>
      <c r="F69" s="224" t="n">
        <f aca="false">($B69*$B$7+$C69*$C$7)/100</f>
        <v>0</v>
      </c>
      <c r="G69" s="216"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7"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8" t="str">
        <f aca="false">IF(A69="NEW.COD",AA69,IF(ISTEXT($E69),"DEJA SAISI !",IF(A69="","",IF(ISERROR(VLOOKUP($A69,'[1]liste reference'!$A$7:$D$906,2,0)),IF(ISERROR(VLOOKUP($A69,'[1]liste reference'!$B$7:$D$906,1,0)),"code non répertorié ou synonyme",VLOOKUP($A69,'[1]liste reference'!$B$7:$D$906,1,0)),VLOOKUP(A69,'[1]liste reference'!$A$7:$D$906,2,0)))))</f>
        <v/>
      </c>
      <c r="L69" s="219"/>
      <c r="M69" s="219"/>
      <c r="N69" s="219"/>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0"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194"/>
      <c r="B70" s="212"/>
      <c r="C70" s="213"/>
      <c r="D70" s="214" t="str">
        <f aca="false">IF(ISERROR(VLOOKUP($A70,'[1]liste reference'!$A$7:$D$906,2,0)),IF(ISERROR(VLOOKUP($A70,'[1]liste reference'!$B$7:$D$906,1,0)),"",VLOOKUP($A70,'[1]liste reference'!$B$7:$D$906,1,0)),VLOOKUP($A70,'[1]liste reference'!$A$7:$D$906,2,0))</f>
        <v/>
      </c>
      <c r="E70" s="214" t="n">
        <f aca="false">IF(D70="",0,VLOOKUP(D70,D$22:D55,1,0))</f>
        <v>0</v>
      </c>
      <c r="F70" s="224" t="n">
        <f aca="false">($B70*$B$7+$C70*$C$7)/100</f>
        <v>0</v>
      </c>
      <c r="G70" s="216"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7"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8" t="str">
        <f aca="false">IF(A70="NEW.COD",AA70,IF(ISTEXT($E70),"DEJA SAISI !",IF(A70="","",IF(ISERROR(VLOOKUP($A70,'[1]liste reference'!$A$7:$D$906,2,0)),IF(ISERROR(VLOOKUP($A70,'[1]liste reference'!$B$7:$D$906,1,0)),"code non répertorié ou synonyme",VLOOKUP($A70,'[1]liste reference'!$B$7:$D$906,1,0)),VLOOKUP(A70,'[1]liste reference'!$A$7:$D$906,2,0)))))</f>
        <v/>
      </c>
      <c r="L70" s="219"/>
      <c r="M70" s="219"/>
      <c r="N70" s="219"/>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0"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194"/>
      <c r="B71" s="212"/>
      <c r="C71" s="213"/>
      <c r="D71" s="214" t="str">
        <f aca="false">IF(ISERROR(VLOOKUP($A71,'[1]liste reference'!$A$7:$D$906,2,0)),IF(ISERROR(VLOOKUP($A71,'[1]liste reference'!$B$7:$D$906,1,0)),"",VLOOKUP($A71,'[1]liste reference'!$B$7:$D$906,1,0)),VLOOKUP($A71,'[1]liste reference'!$A$7:$D$906,2,0))</f>
        <v/>
      </c>
      <c r="E71" s="214" t="n">
        <f aca="false">IF(D71="",0,VLOOKUP(D71,D$22:D56,1,0))</f>
        <v>0</v>
      </c>
      <c r="F71" s="224" t="n">
        <f aca="false">($B71*$B$7+$C71*$C$7)/100</f>
        <v>0</v>
      </c>
      <c r="G71" s="216"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7"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8" t="str">
        <f aca="false">IF(A71="NEW.COD",AA71,IF(ISTEXT($E71),"DEJA SAISI !",IF(A71="","",IF(ISERROR(VLOOKUP($A71,'[1]liste reference'!$A$7:$D$906,2,0)),IF(ISERROR(VLOOKUP($A71,'[1]liste reference'!$B$7:$D$906,1,0)),"code non répertorié ou synonyme",VLOOKUP($A71,'[1]liste reference'!$B$7:$D$906,1,0)),VLOOKUP(A71,'[1]liste reference'!$A$7:$D$906,2,0)))))</f>
        <v/>
      </c>
      <c r="L71" s="219"/>
      <c r="M71" s="219"/>
      <c r="N71" s="219"/>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0"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194"/>
      <c r="B72" s="212"/>
      <c r="C72" s="213"/>
      <c r="D72" s="214" t="str">
        <f aca="false">IF(ISERROR(VLOOKUP($A72,'[1]liste reference'!$A$7:$D$906,2,0)),IF(ISERROR(VLOOKUP($A72,'[1]liste reference'!$B$7:$D$906,1,0)),"",VLOOKUP($A72,'[1]liste reference'!$B$7:$D$906,1,0)),VLOOKUP($A72,'[1]liste reference'!$A$7:$D$906,2,0))</f>
        <v/>
      </c>
      <c r="E72" s="214" t="n">
        <f aca="false">IF(D72="",0,VLOOKUP(D72,D$22:D56,1,0))</f>
        <v>0</v>
      </c>
      <c r="F72" s="224" t="n">
        <f aca="false">($B72*$B$7+$C72*$C$7)/100</f>
        <v>0</v>
      </c>
      <c r="G72" s="216"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7"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8" t="str">
        <f aca="false">IF(A72="NEW.COD",AA72,IF(ISTEXT($E72),"DEJA SAISI !",IF(A72="","",IF(ISERROR(VLOOKUP($A72,'[1]liste reference'!$A$7:$D$906,2,0)),IF(ISERROR(VLOOKUP($A72,'[1]liste reference'!$B$7:$D$906,1,0)),"code non répertorié ou synonyme",VLOOKUP($A72,'[1]liste reference'!$B$7:$D$906,1,0)),VLOOKUP(A72,'[1]liste reference'!$A$7:$D$906,2,0)))))</f>
        <v/>
      </c>
      <c r="L72" s="219"/>
      <c r="M72" s="219"/>
      <c r="N72" s="219"/>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0"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194"/>
      <c r="B73" s="212"/>
      <c r="C73" s="213"/>
      <c r="D73" s="214" t="str">
        <f aca="false">IF(ISERROR(VLOOKUP($A73,'[1]liste reference'!$A$7:$D$906,2,0)),IF(ISERROR(VLOOKUP($A73,'[1]liste reference'!$B$7:$D$906,1,0)),"",VLOOKUP($A73,'[1]liste reference'!$B$7:$D$906,1,0)),VLOOKUP($A73,'[1]liste reference'!$A$7:$D$906,2,0))</f>
        <v/>
      </c>
      <c r="E73" s="214" t="n">
        <f aca="false">IF(D73="",0,VLOOKUP(D73,D$22:D57,1,0))</f>
        <v>0</v>
      </c>
      <c r="F73" s="224" t="n">
        <f aca="false">($B73*$B$7+$C73*$C$7)/100</f>
        <v>0</v>
      </c>
      <c r="G73" s="216"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7"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8" t="str">
        <f aca="false">IF(A73="NEW.COD",AA73,IF(ISTEXT($E73),"DEJA SAISI !",IF(A73="","",IF(ISERROR(VLOOKUP($A73,'[1]liste reference'!$A$7:$D$906,2,0)),IF(ISERROR(VLOOKUP($A73,'[1]liste reference'!$B$7:$D$906,1,0)),"code non répertorié ou synonyme",VLOOKUP($A73,'[1]liste reference'!$B$7:$D$906,1,0)),VLOOKUP(A73,'[1]liste reference'!$A$7:$D$906,2,0)))))</f>
        <v/>
      </c>
      <c r="L73" s="219"/>
      <c r="M73" s="219"/>
      <c r="N73" s="219"/>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0"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194"/>
      <c r="B74" s="212"/>
      <c r="C74" s="213"/>
      <c r="D74" s="214" t="str">
        <f aca="false">IF(ISERROR(VLOOKUP($A74,'[1]liste reference'!$A$7:$D$906,2,0)),IF(ISERROR(VLOOKUP($A74,'[1]liste reference'!$B$7:$D$906,1,0)),"",VLOOKUP($A74,'[1]liste reference'!$B$7:$D$906,1,0)),VLOOKUP($A74,'[1]liste reference'!$A$7:$D$906,2,0))</f>
        <v/>
      </c>
      <c r="E74" s="214" t="n">
        <f aca="false">IF(D74="",0,VLOOKUP(D74,D$22:D58,1,0))</f>
        <v>0</v>
      </c>
      <c r="F74" s="224" t="n">
        <f aca="false">($B74*$B$7+$C74*$C$7)/100</f>
        <v>0</v>
      </c>
      <c r="G74" s="216"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7"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8" t="str">
        <f aca="false">IF(A74="NEW.COD",AA74,IF(ISTEXT($E74),"DEJA SAISI !",IF(A74="","",IF(ISERROR(VLOOKUP($A74,'[1]liste reference'!$A$7:$D$906,2,0)),IF(ISERROR(VLOOKUP($A74,'[1]liste reference'!$B$7:$D$906,1,0)),"code non répertorié ou synonyme",VLOOKUP($A74,'[1]liste reference'!$B$7:$D$906,1,0)),VLOOKUP(A74,'[1]liste reference'!$A$7:$D$906,2,0)))))</f>
        <v/>
      </c>
      <c r="L74" s="219"/>
      <c r="M74" s="219"/>
      <c r="N74" s="219"/>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0"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194"/>
      <c r="B75" s="212"/>
      <c r="C75" s="213"/>
      <c r="D75" s="214" t="str">
        <f aca="false">IF(ISERROR(VLOOKUP($A75,'[1]liste reference'!$A$7:$D$906,2,0)),IF(ISERROR(VLOOKUP($A75,'[1]liste reference'!$B$7:$D$906,1,0)),"",VLOOKUP($A75,'[1]liste reference'!$B$7:$D$906,1,0)),VLOOKUP($A75,'[1]liste reference'!$A$7:$D$906,2,0))</f>
        <v/>
      </c>
      <c r="E75" s="214" t="n">
        <f aca="false">IF(D75="",0,VLOOKUP(D75,D$22:D58,1,0))</f>
        <v>0</v>
      </c>
      <c r="F75" s="224" t="n">
        <f aca="false">($B75*$B$7+$C75*$C$7)/100</f>
        <v>0</v>
      </c>
      <c r="G75" s="216"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7"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8" t="str">
        <f aca="false">IF(A75="NEW.COD",AA75,IF(ISTEXT($E75),"DEJA SAISI !",IF(A75="","",IF(ISERROR(VLOOKUP($A75,'[1]liste reference'!$A$7:$D$906,2,0)),IF(ISERROR(VLOOKUP($A75,'[1]liste reference'!$B$7:$D$906,1,0)),"code non répertorié ou synonyme",VLOOKUP($A75,'[1]liste reference'!$B$7:$D$906,1,0)),VLOOKUP(A75,'[1]liste reference'!$A$7:$D$906,2,0)))))</f>
        <v/>
      </c>
      <c r="L75" s="219"/>
      <c r="M75" s="219"/>
      <c r="N75" s="219"/>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0"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194"/>
      <c r="B76" s="212"/>
      <c r="C76" s="213"/>
      <c r="D76" s="214" t="str">
        <f aca="false">IF(ISERROR(VLOOKUP($A76,'[1]liste reference'!$A$7:$D$906,2,0)),IF(ISERROR(VLOOKUP($A76,'[1]liste reference'!$B$7:$D$906,1,0)),"",VLOOKUP($A76,'[1]liste reference'!$B$7:$D$906,1,0)),VLOOKUP($A76,'[1]liste reference'!$A$7:$D$906,2,0))</f>
        <v/>
      </c>
      <c r="E76" s="214" t="n">
        <f aca="false">IF(D76="",0,VLOOKUP(D76,D$22:D74,1,0))</f>
        <v>0</v>
      </c>
      <c r="F76" s="224" t="n">
        <f aca="false">($B76*$B$7+$C76*$C$7)/100</f>
        <v>0</v>
      </c>
      <c r="G76" s="216"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7"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8" t="str">
        <f aca="false">IF(A76="NEW.COD",AA76,IF(ISTEXT($E76),"DEJA SAISI !",IF(A76="","",IF(ISERROR(VLOOKUP($A76,'[1]liste reference'!$A$7:$D$906,2,0)),IF(ISERROR(VLOOKUP($A76,'[1]liste reference'!$B$7:$D$906,1,0)),"code non répertorié ou synonyme",VLOOKUP($A76,'[1]liste reference'!$B$7:$D$906,1,0)),VLOOKUP(A76,'[1]liste reference'!$A$7:$D$906,2,0)))))</f>
        <v/>
      </c>
      <c r="L76" s="219"/>
      <c r="M76" s="219"/>
      <c r="N76" s="219"/>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0"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194"/>
      <c r="B77" s="212"/>
      <c r="C77" s="213"/>
      <c r="D77" s="214" t="str">
        <f aca="false">IF(ISERROR(VLOOKUP($A77,'[1]liste reference'!$A$7:$D$906,2,0)),IF(ISERROR(VLOOKUP($A77,'[1]liste reference'!$B$7:$D$906,1,0)),"",VLOOKUP($A77,'[1]liste reference'!$B$7:$D$906,1,0)),VLOOKUP($A77,'[1]liste reference'!$A$7:$D$906,2,0))</f>
        <v/>
      </c>
      <c r="E77" s="214" t="n">
        <f aca="false">IF(D77="",0,VLOOKUP(D77,D$22:D74,1,0))</f>
        <v>0</v>
      </c>
      <c r="F77" s="224" t="n">
        <f aca="false">($B77*$B$7+$C77*$C$7)/100</f>
        <v>0</v>
      </c>
      <c r="G77" s="216"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7"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8" t="str">
        <f aca="false">IF(A77="NEW.COD",AA77,IF(ISTEXT($E77),"DEJA SAISI !",IF(A77="","",IF(ISERROR(VLOOKUP($A77,'[1]liste reference'!$A$7:$D$906,2,0)),IF(ISERROR(VLOOKUP($A77,'[1]liste reference'!$B$7:$D$906,1,0)),"code non répertorié ou synonyme",VLOOKUP($A77,'[1]liste reference'!$B$7:$D$906,1,0)),VLOOKUP(A77,'[1]liste reference'!$A$7:$D$906,2,0)))))</f>
        <v/>
      </c>
      <c r="L77" s="219"/>
      <c r="M77" s="219"/>
      <c r="N77" s="219"/>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0"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194"/>
      <c r="B78" s="212"/>
      <c r="C78" s="213"/>
      <c r="D78" s="214" t="str">
        <f aca="false">IF(ISERROR(VLOOKUP($A78,'[1]liste reference'!$A$7:$D$906,2,0)),IF(ISERROR(VLOOKUP($A78,'[1]liste reference'!$B$7:$D$906,1,0)),"",VLOOKUP($A78,'[1]liste reference'!$B$7:$D$906,1,0)),VLOOKUP($A78,'[1]liste reference'!$A$7:$D$906,2,0))</f>
        <v/>
      </c>
      <c r="E78" s="214" t="n">
        <f aca="false">IF(D78="",0,VLOOKUP(D78,D$22:D74,1,0))</f>
        <v>0</v>
      </c>
      <c r="F78" s="224" t="n">
        <f aca="false">($B78*$B$7+$C78*$C$7)/100</f>
        <v>0</v>
      </c>
      <c r="G78" s="216"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7"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8" t="str">
        <f aca="false">IF(A78="NEW.COD",AA78,IF(ISTEXT($E78),"DEJA SAISI !",IF(A78="","",IF(ISERROR(VLOOKUP($A78,'[1]liste reference'!$A$7:$D$906,2,0)),IF(ISERROR(VLOOKUP($A78,'[1]liste reference'!$B$7:$D$906,1,0)),"code non répertorié ou synonyme",VLOOKUP($A78,'[1]liste reference'!$B$7:$D$906,1,0)),VLOOKUP(A78,'[1]liste reference'!$A$7:$D$906,2,0)))))</f>
        <v/>
      </c>
      <c r="L78" s="219"/>
      <c r="M78" s="219"/>
      <c r="N78" s="219"/>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0"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194"/>
      <c r="B79" s="212"/>
      <c r="C79" s="213"/>
      <c r="D79" s="214" t="str">
        <f aca="false">IF(ISERROR(VLOOKUP($A79,'[1]liste reference'!$A$7:$D$906,2,0)),IF(ISERROR(VLOOKUP($A79,'[1]liste reference'!$B$7:$D$906,1,0)),"",VLOOKUP($A79,'[1]liste reference'!$B$7:$D$906,1,0)),VLOOKUP($A79,'[1]liste reference'!$A$7:$D$906,2,0))</f>
        <v/>
      </c>
      <c r="E79" s="214" t="n">
        <f aca="false">IF(D79="",0,VLOOKUP(D79,D$22:D78,1,0))</f>
        <v>0</v>
      </c>
      <c r="F79" s="224" t="n">
        <f aca="false">($B79*$B$7+$C79*$C$7)/100</f>
        <v>0</v>
      </c>
      <c r="G79" s="216"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7"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8" t="str">
        <f aca="false">IF(A79="NEW.COD",AA79,IF(ISTEXT($E79),"DEJA SAISI !",IF(A79="","",IF(ISERROR(VLOOKUP($A79,'[1]liste reference'!$A$7:$D$906,2,0)),IF(ISERROR(VLOOKUP($A79,'[1]liste reference'!$B$7:$D$906,1,0)),"code non répertorié ou synonyme",VLOOKUP($A79,'[1]liste reference'!$B$7:$D$906,1,0)),VLOOKUP(A79,'[1]liste reference'!$A$7:$D$906,2,0)))))</f>
        <v/>
      </c>
      <c r="L79" s="219"/>
      <c r="M79" s="219"/>
      <c r="N79" s="219"/>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0"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194"/>
      <c r="B80" s="212"/>
      <c r="C80" s="213"/>
      <c r="D80" s="214" t="str">
        <f aca="false">IF(ISERROR(VLOOKUP($A80,'[1]liste reference'!$A$7:$D$906,2,0)),IF(ISERROR(VLOOKUP($A80,'[1]liste reference'!$B$7:$D$906,1,0)),"",VLOOKUP($A80,'[1]liste reference'!$B$7:$D$906,1,0)),VLOOKUP($A80,'[1]liste reference'!$A$7:$D$906,2,0))</f>
        <v/>
      </c>
      <c r="E80" s="214" t="n">
        <f aca="false">IF(D80="",0,VLOOKUP(D80,D$21:D79,1,0))</f>
        <v>0</v>
      </c>
      <c r="F80" s="224" t="n">
        <f aca="false">($B80*$B$7+$C80*$C$7)/100</f>
        <v>0</v>
      </c>
      <c r="G80" s="216"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7"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8" t="str">
        <f aca="false">IF(A80="NEW.COD",AA80,IF(ISTEXT($E80),"DEJA SAISI !",IF(A80="","",IF(ISERROR(VLOOKUP($A80,'[1]liste reference'!$A$7:$D$906,2,0)),IF(ISERROR(VLOOKUP($A80,'[1]liste reference'!$B$7:$D$906,1,0)),"code non répertorié ou synonyme",VLOOKUP($A80,'[1]liste reference'!$B$7:$D$906,1,0)),VLOOKUP(A80,'[1]liste reference'!$A$7:$D$906,2,0)))))</f>
        <v/>
      </c>
      <c r="L80" s="222"/>
      <c r="M80" s="222"/>
      <c r="N80" s="222"/>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0" t="n">
        <f aca="false">IF(ISERROR(Q80*J80),0,Q80*J80)</f>
        <v>0</v>
      </c>
      <c r="U80" s="208" t="str">
        <f aca="false">IF(AND(A80="",F80=0),"",IF(F80=0,"Il manque le(s) % de rec. !",""))</f>
        <v/>
      </c>
      <c r="V80" s="209"/>
      <c r="W80" s="226"/>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27"/>
      <c r="B81" s="228"/>
      <c r="C81" s="229"/>
      <c r="D81" s="230" t="str">
        <f aca="false">IF(ISERROR(VLOOKUP($A81,'[1]liste reference'!$A$7:$D$906,2,0)),IF(ISERROR(VLOOKUP($A81,'[1]liste reference'!$B$7:$D$906,1,0)),"",VLOOKUP($A81,'[1]liste reference'!$B$7:$D$906,1,0)),VLOOKUP($A81,'[1]liste reference'!$A$7:$D$906,2,0))</f>
        <v/>
      </c>
      <c r="E81" s="231" t="n">
        <f aca="false">IF(D81="",0,VLOOKUP(D81,D$20:D79,1,0))</f>
        <v>0</v>
      </c>
      <c r="F81" s="232" t="n">
        <f aca="false">($B81*$B$7+$C81*$C$7)/100</f>
        <v>0</v>
      </c>
      <c r="G81" s="233"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34" t="str">
        <f aca="false">IF(ISNUMBER(H81),IF(ISERROR(VLOOKUP($A81,'[1]liste reference'!$A$7:$P$906,3,0)),IF(ISERROR(VLOOKUP($A81,'[1]liste reference'!$B$7:$P$906,2,0)),"",VLOOKUP($A81,'[1]liste reference'!$B$7:$P$906,2,0)),VLOOKUP($A81,'[1]liste reference'!$A$7:$P$906,3,0)),"")</f>
        <v/>
      </c>
      <c r="J81" s="234" t="str">
        <f aca="false">IF(ISNUMBER(H81),IF(ISERROR(VLOOKUP($A81,'[1]liste reference'!$A$7:$P$906,4,0)),IF(ISERROR(VLOOKUP($A81,'[1]liste reference'!$B$7:$P$906,3,0)),"",VLOOKUP($A81,'[1]liste reference'!$B$7:$P$906,3,0)),VLOOKUP($A81,'[1]liste reference'!$A$7:$P$906,4,0)),"")</f>
        <v/>
      </c>
      <c r="K81" s="235" t="str">
        <f aca="false">IF(A81="NEW.COD",AA81,IF(ISTEXT($E81),"DEJA SAISI !",IF(A81="","",IF(ISERROR(VLOOKUP($A81,'[1]liste reference'!$A$7:$D$906,2,0)),IF(ISERROR(VLOOKUP($A81,'[1]liste reference'!$B$7:$D$906,1,0)),"code non répertorié ou synonyme",VLOOKUP($A81,'[1]liste reference'!$B$7:$D$906,1,0)),VLOOKUP(A81,'[1]liste reference'!$A$7:$D$906,2,0)))))</f>
        <v/>
      </c>
      <c r="L81" s="236"/>
      <c r="M81" s="236"/>
      <c r="N81" s="236"/>
      <c r="O81" s="237"/>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0" t="n">
        <f aca="false">IF(ISERROR(Q81*J81),0,Q81*J81)</f>
        <v>0</v>
      </c>
      <c r="U81" s="208" t="str">
        <f aca="false">IF(AND(A81="",F81=0),"",IF(F81=0,"Il manque le(s) % de rec. !",""))</f>
        <v/>
      </c>
      <c r="V81" s="238"/>
      <c r="W81" s="239"/>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3.8" hidden="true" customHeight="false" outlineLevel="0" collapsed="false">
      <c r="A82" s="240" t="s">
        <v>87</v>
      </c>
      <c r="B82" s="152"/>
      <c r="C82" s="152"/>
      <c r="D82" s="152"/>
      <c r="E82" s="152"/>
      <c r="F82" s="152"/>
      <c r="G82" s="152"/>
      <c r="H82" s="152"/>
      <c r="I82" s="152"/>
      <c r="J82" s="152"/>
      <c r="K82" s="152"/>
      <c r="L82" s="152"/>
      <c r="M82" s="207"/>
      <c r="N82" s="207"/>
      <c r="O82" s="241"/>
      <c r="P82" s="241"/>
      <c r="Q82" s="241"/>
      <c r="R82" s="241"/>
      <c r="S82" s="8"/>
      <c r="T82" s="8"/>
      <c r="U82" s="241"/>
      <c r="V82" s="241"/>
      <c r="W82" s="241"/>
      <c r="X82" s="242"/>
      <c r="Y82" s="242"/>
      <c r="Z82" s="242"/>
      <c r="AA82" s="243"/>
      <c r="AB82" s="243"/>
      <c r="AC82" s="243"/>
    </row>
    <row r="83" customFormat="false" ht="12.75" hidden="true" customHeight="false" outlineLevel="0" collapsed="false">
      <c r="A83" s="244" t="str">
        <f aca="false">A3</f>
        <v>MORGE</v>
      </c>
      <c r="B83" s="245" t="str">
        <f aca="false">C3</f>
        <v>Montcel</v>
      </c>
      <c r="C83" s="246" t="n">
        <f aca="false">A4</f>
        <v>39644</v>
      </c>
      <c r="D83" s="247" t="n">
        <f aca="false">IF(ISERROR(SUM($S$23:$S$81)/SUM($T$23:$T$81)),"",SUM($S$23:$S$81)/SUM($T$23:$T$81))</f>
        <v>12.741935483871</v>
      </c>
      <c r="E83" s="248" t="n">
        <f aca="false">N13</f>
        <v>14</v>
      </c>
      <c r="F83" s="249" t="n">
        <f aca="false">N14</f>
        <v>13</v>
      </c>
      <c r="G83" s="249" t="n">
        <f aca="false">N15</f>
        <v>5</v>
      </c>
      <c r="H83" s="249" t="n">
        <f aca="false">N16</f>
        <v>8</v>
      </c>
      <c r="I83" s="249" t="n">
        <f aca="false">N17</f>
        <v>0</v>
      </c>
      <c r="J83" s="250" t="n">
        <f aca="false">N8</f>
        <v>11.9230769230769</v>
      </c>
      <c r="K83" s="247" t="n">
        <f aca="false">N9</f>
        <v>2.49871761981816</v>
      </c>
      <c r="L83" s="248" t="n">
        <f aca="false">N10</f>
        <v>6</v>
      </c>
      <c r="M83" s="248" t="n">
        <f aca="false">N11</f>
        <v>15</v>
      </c>
      <c r="N83" s="247" t="n">
        <f aca="false">O8</f>
        <v>1.61538461538462</v>
      </c>
      <c r="O83" s="247" t="n">
        <f aca="false">O9</f>
        <v>0.506369683541833</v>
      </c>
      <c r="P83" s="248" t="n">
        <f aca="false">O10</f>
        <v>1</v>
      </c>
      <c r="Q83" s="248" t="n">
        <f aca="false">O11</f>
        <v>2</v>
      </c>
      <c r="R83" s="251" t="n">
        <f aca="false">F21</f>
        <v>3.5104</v>
      </c>
      <c r="S83" s="248" t="n">
        <f aca="false">K11</f>
        <v>0</v>
      </c>
      <c r="T83" s="248" t="n">
        <f aca="false">K12</f>
        <v>7</v>
      </c>
      <c r="U83" s="248" t="n">
        <f aca="false">K13</f>
        <v>7</v>
      </c>
      <c r="V83" s="252" t="n">
        <f aca="false">K14</f>
        <v>0</v>
      </c>
      <c r="W83" s="253" t="n">
        <f aca="false">K15</f>
        <v>0</v>
      </c>
      <c r="Y83" s="226"/>
      <c r="Z83" s="226"/>
      <c r="AA83" s="243"/>
      <c r="AB83" s="243"/>
      <c r="AC83" s="243"/>
    </row>
    <row r="84" customFormat="false" ht="12.75" hidden="true" customHeight="false" outlineLevel="0" collapsed="false">
      <c r="P84" s="8"/>
      <c r="Q84" s="8"/>
      <c r="R84" s="8"/>
      <c r="S84" s="8"/>
      <c r="T84" s="8"/>
      <c r="U84" s="8"/>
    </row>
    <row r="85" customFormat="false" ht="12.75" hidden="true" customHeight="false" outlineLevel="0" collapsed="false">
      <c r="P85" s="254" t="s">
        <v>88</v>
      </c>
      <c r="Q85" s="8"/>
      <c r="R85" s="208"/>
      <c r="S85" s="8"/>
      <c r="T85" s="8"/>
      <c r="U85" s="8"/>
    </row>
    <row r="86" customFormat="false" ht="12.75" hidden="true" customHeight="false" outlineLevel="0" collapsed="false">
      <c r="P86" s="8" t="s">
        <v>89</v>
      </c>
      <c r="Q86" s="8"/>
      <c r="R86" s="208" t="n">
        <f aca="false">VLOOKUP(MAX($R$23:$R$81),($R$23:$T$81),1,0)</f>
        <v>45</v>
      </c>
      <c r="S86" s="8"/>
      <c r="T86" s="8"/>
      <c r="U86" s="8"/>
    </row>
    <row r="87" customFormat="false" ht="12.75" hidden="true" customHeight="false" outlineLevel="0" collapsed="false">
      <c r="P87" s="8" t="s">
        <v>90</v>
      </c>
      <c r="Q87" s="8"/>
      <c r="R87" s="208" t="n">
        <f aca="false">VLOOKUP((R86),($R$23:$T$81),2,0)</f>
        <v>90</v>
      </c>
      <c r="S87" s="8"/>
      <c r="T87" s="8"/>
      <c r="U87" s="8"/>
    </row>
    <row r="88" customFormat="false" ht="12.75" hidden="true" customHeight="false" outlineLevel="0" collapsed="false">
      <c r="P88" s="8" t="s">
        <v>91</v>
      </c>
      <c r="Q88" s="8"/>
      <c r="R88" s="208" t="n">
        <f aca="false">VLOOKUP((R86),($R$23:$T$81),3,0)</f>
        <v>6</v>
      </c>
      <c r="S88" s="8"/>
    </row>
    <row r="89" customFormat="false" ht="12.75" hidden="true" customHeight="false" outlineLevel="0" collapsed="false">
      <c r="P89" s="8" t="s">
        <v>92</v>
      </c>
      <c r="Q89" s="8"/>
      <c r="R89" s="255" t="n">
        <f aca="false">IF(ISERROR(SUM($S$23:$S$81)/SUM($T$23:$T$81)),"",(SUM($S$23:$S$81)-R87)/(SUM($T$23:$T$81)-R88))</f>
        <v>12.2</v>
      </c>
      <c r="S89" s="8"/>
    </row>
    <row r="90" customFormat="false" ht="12.75" hidden="true" customHeight="false" outlineLevel="0" collapsed="false">
      <c r="P90" s="207" t="s">
        <v>93</v>
      </c>
      <c r="Q90" s="207"/>
      <c r="R90" s="207" t="str">
        <f aca="false">INDEX('[1]liste reference'!$A$7:$A$906,$S$90)</f>
        <v>HIL.SPX</v>
      </c>
      <c r="S90" s="8" t="n">
        <f aca="false">IF(ISERROR(MATCH($R$92,'[1]liste reference'!$A$7:$A$906,0)),MATCH($R$92,'[1]liste reference'!$B$7:$B$906,0),(MATCH($R$92,'[1]liste reference'!$A$7:$A$906,0)))</f>
        <v>31</v>
      </c>
      <c r="T90" s="243"/>
    </row>
    <row r="91" customFormat="false" ht="12.75" hidden="true" customHeight="false" outlineLevel="0" collapsed="false">
      <c r="P91" s="8" t="s">
        <v>94</v>
      </c>
      <c r="Q91" s="8"/>
      <c r="R91" s="8" t="n">
        <f aca="false">MATCH(R86,$R$23:$R$81,0)</f>
        <v>3</v>
      </c>
      <c r="S91" s="8"/>
    </row>
    <row r="92" customFormat="false" ht="12.75" hidden="true" customHeight="false" outlineLevel="0" collapsed="false">
      <c r="P92" s="207" t="s">
        <v>95</v>
      </c>
      <c r="Q92" s="8"/>
      <c r="R92" s="207" t="str">
        <f aca="false">INDEX($A$23:$A$81,$R$91)</f>
        <v>HIL.SPX</v>
      </c>
      <c r="S92" s="8"/>
    </row>
    <row r="93" customFormat="false" ht="12.75" hidden="false" customHeight="false" outlineLevel="0" collapsed="false">
      <c r="R93" s="243"/>
    </row>
    <row r="1048576" customFormat="false" ht="12.8" hidden="false" customHeight="false" outlineLevel="0" collapsed="false"/>
  </sheetData>
  <mergeCells count="11">
    <mergeCell ref="N6:O6"/>
    <mergeCell ref="A8:C8"/>
    <mergeCell ref="I11:J11"/>
    <mergeCell ref="I12:J12"/>
    <mergeCell ref="I13:J13"/>
    <mergeCell ref="I14:J14"/>
    <mergeCell ref="I15:J15"/>
    <mergeCell ref="I17:J17"/>
    <mergeCell ref="I18:J18"/>
    <mergeCell ref="K22:O22"/>
    <mergeCell ref="X82:Y82"/>
  </mergeCells>
  <conditionalFormatting sqref="A23:A81">
    <cfRule type="expression" priority="2" aboveAverage="0" equalAverage="0" bottom="0" percent="0" rank="0" text="" dxfId="0">
      <formula>ISTEXT($E23)</formula>
    </cfRule>
  </conditionalFormatting>
  <conditionalFormatting sqref="H23:J81">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1 K23:K81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1"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1"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1"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1" type="none">
      <formula1>0</formula1>
      <formula2>0</formula2>
    </dataValidation>
    <dataValidation allowBlank="false" error="Veuillez sélectionner Cf. dans la liste déroulante" errorStyle="stop" errorTitle="ATTENTION" operator="between" showDropDown="false" showErrorMessage="true" showInputMessage="false" sqref="Z23:Z81"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2024-03-12T21:06:19Z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