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a montfermy" sheetId="1" state="visible" r:id="rId3"/>
  </sheets>
  <externalReferences>
    <externalReference r:id="rId4"/>
  </externalReferences>
  <definedNames>
    <definedName function="false" hidden="false" localSheetId="0" name="_xlnm.Print_Area" vbProcedure="false">'sioule a montfermy'!$A$1:$O$82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<sst xmlns="http://schemas.openxmlformats.org/spreadsheetml/2006/main" count="101" uniqueCount="97">
  <si>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</si>
  <si>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</si>
  <si>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</si>
  <si>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</si>
  <si>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</si>
  <si>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Sioule</t>
  </si>
  <si>
    <t xml:space="preserve">Sioule à Montfermy</t>
  </si>
  <si>
    <t xml:space="preserve">04041700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</si>
  <si>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</si>
  <si>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</si>
  <si>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</si>
  <si>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</si>
  <si>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</si>
  <si>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</si>
  <si>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</si>
  <si>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</si>
  <si>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</si>
  <si>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</si>
  <si>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</si>
  <si>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</si>
  <si>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</si>
  <si>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</si>
  <si>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</si>
  <si>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</si>
  <si>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</si>
  <si>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</si>
  <si>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</si>
  <si>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</si>
  <si>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</si>
  <si>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</si>
  <si>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</si>
  <si>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</si>
  <si>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</si>
  <si>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</si>
  <si>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</si>
  <si>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</si>
  <si>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</si>
  <si>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</si>
  <si>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</si>
  <si>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</si>
  <si>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</si>
  <si>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</si>
  <si>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</si>
  <si>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</si>
  <si>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</si>
  <si>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</si>
  <si>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</si>
  <si>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</si>
  <si>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</si>
  <si>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</si>
  <si>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</si>
  <si>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</si>
  <si>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</si>
  <si>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</si>
  <si>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</si>
  <si>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</si>
  <si>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</si>
  <si>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</si>
  <si>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</si>
  <si>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</si>
  <si>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</si>
  <si>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</si>
  <si>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</si>
  <si>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</si>
  <si>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</si>
  <si>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</si>
  <si>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</si>
  <si>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</si>
  <si>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</si>
  <si>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</si>
  <si>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</si>
  <si>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</si>
  <si>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</si>
  <si>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</si>
  <si>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</si>
  <si>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</si>
  <si>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MELSPX</t>
  </si>
  <si>
    <t xml:space="preserve">OEDSPX</t>
  </si>
  <si>
    <t xml:space="preserve">OSCSPX</t>
  </si>
  <si>
    <t xml:space="preserve">RHYRIP</t>
  </si>
  <si>
    <t xml:space="preserve">CALHAM</t>
  </si>
  <si>
    <t xml:space="preserve">LEMMIN</t>
  </si>
  <si>
    <t xml:space="preserve">RANFLU</t>
  </si>
  <si>
    <t xml:space="preserve">GLYFLU</t>
  </si>
  <si>
    <t xml:space="preserve">IRIPSE</t>
  </si>
  <si>
    <t xml:space="preserve">PHAARU</t>
  </si>
  <si>
    <t xml:space="preserve">VERBEC</t>
  </si>
  <si>
    <t xml:space="preserve">CAMAMA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</si>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</sst>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11.0789473684211</v>
      </c>
      <c r="M5" s="51"/>
      <c r="N5" s="52" t="s">
        <v>16</v>
      </c>
      <c r="O5" s="53" t="n">
        <v>10.0333333333333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10.8333333333333</v>
      </c>
      <c r="O8" s="80" t="n">
        <f aca="false">AVERAGE(J23:J82)</f>
        <v>1.33333333333333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100</v>
      </c>
      <c r="C9" s="83"/>
      <c r="D9" s="84"/>
      <c r="E9" s="84"/>
      <c r="F9" s="85" t="n">
        <f aca="false">($B9*$B$7+$C9*$C$7)/100</f>
        <v>100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2.28963408483195</v>
      </c>
      <c r="O9" s="80" t="n">
        <f aca="false">STDEV(J23:J82)</f>
        <v>0.492365963917331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90</v>
      </c>
      <c r="C12" s="115"/>
      <c r="D12" s="107"/>
      <c r="E12" s="107"/>
      <c r="F12" s="108" t="n">
        <f aca="false">($B12*$B$7+$C12*$C$7)/100</f>
        <v>90</v>
      </c>
      <c r="G12" s="116"/>
      <c r="H12" s="64"/>
      <c r="I12" s="117" t="s">
        <v>37</v>
      </c>
      <c r="J12" s="117"/>
      <c r="K12" s="111" t="n">
        <f aca="false">COUNTIF($G$23:$G$82,"=ALG")</f>
        <v>3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30</v>
      </c>
      <c r="C13" s="115"/>
      <c r="D13" s="107"/>
      <c r="E13" s="107"/>
      <c r="F13" s="108" t="n">
        <f aca="false">($B13*$B$7+$C13*$C$7)/100</f>
        <v>30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13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12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38</v>
      </c>
      <c r="C15" s="130"/>
      <c r="D15" s="107"/>
      <c r="E15" s="107"/>
      <c r="F15" s="108" t="n">
        <f aca="false">($B15*$B$7+$C15*$C$7)/100</f>
        <v>38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8</v>
      </c>
      <c r="L15" s="112"/>
      <c r="M15" s="131" t="s">
        <v>46</v>
      </c>
      <c r="N15" s="132" t="n">
        <f aca="false">COUNTIF(J23:J82,"=1")</f>
        <v>8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4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90</v>
      </c>
      <c r="C17" s="115"/>
      <c r="D17" s="107"/>
      <c r="E17" s="107"/>
      <c r="F17" s="137"/>
      <c r="G17" s="108" t="n">
        <f aca="false">($B17*$B$7+$C17*$C$7)/100</f>
        <v>90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38</v>
      </c>
      <c r="C18" s="140"/>
      <c r="D18" s="107"/>
      <c r="E18" s="141" t="s">
        <v>52</v>
      </c>
      <c r="F18" s="137"/>
      <c r="G18" s="108" t="n">
        <f aca="false">($B18*$B$7+$C18*$C$7)/100</f>
        <v>38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 t="s">
        <v>53</v>
      </c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>ATTENTION : le total par grp. floristiques doit être égal</v>
      </c>
      <c r="E19" s="148" t="str">
        <f aca="false">IF(G19=F19,"","au total par grp. Fonctionnels !")</f>
        <v>au total par grp. Fonctionnels !</v>
      </c>
      <c r="F19" s="149" t="n">
        <f aca="false">SUM(F11:F15)</f>
        <v>158</v>
      </c>
      <c r="G19" s="149" t="n">
        <f aca="false">SUM(G16:G18)</f>
        <v>128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 t="s">
        <v>54</v>
      </c>
    </row>
    <row r="20" customFormat="false" ht="12.75" hidden="false" customHeight="false" outlineLevel="0" collapsed="false">
      <c r="A20" s="81" t="s">
        <v>55</v>
      </c>
      <c r="B20" s="157" t="n">
        <f aca="false">SUM(B23:B82)</f>
        <v>158.523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158.523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56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57</v>
      </c>
      <c r="B21" s="170" t="n">
        <f aca="false">B20*B7/100</f>
        <v>158.523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158.523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58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59</v>
      </c>
      <c r="B22" s="180" t="s">
        <v>60</v>
      </c>
      <c r="C22" s="181" t="s">
        <v>60</v>
      </c>
      <c r="D22" s="134"/>
      <c r="E22" s="134"/>
      <c r="F22" s="182" t="s">
        <v>61</v>
      </c>
      <c r="G22" s="183" t="s">
        <v>62</v>
      </c>
      <c r="H22" s="134"/>
      <c r="I22" s="184" t="s">
        <v>63</v>
      </c>
      <c r="J22" s="184" t="s">
        <v>64</v>
      </c>
      <c r="K22" s="185" t="s">
        <v>65</v>
      </c>
      <c r="L22" s="185"/>
      <c r="M22" s="185"/>
      <c r="N22" s="185"/>
      <c r="O22" s="185"/>
      <c r="P22" s="186" t="s">
        <v>66</v>
      </c>
      <c r="Q22" s="187" t="s">
        <v>67</v>
      </c>
      <c r="R22" s="188" t="s">
        <v>68</v>
      </c>
      <c r="S22" s="189" t="s">
        <v>69</v>
      </c>
      <c r="T22" s="190" t="s">
        <v>70</v>
      </c>
      <c r="U22" s="188" t="s">
        <v>71</v>
      </c>
      <c r="X22" s="8" t="s">
        <v>72</v>
      </c>
      <c r="Y22" s="8" t="s">
        <v>73</v>
      </c>
      <c r="Z22" s="191" t="s">
        <v>74</v>
      </c>
      <c r="AA22" s="191" t="s">
        <v>75</v>
      </c>
    </row>
    <row r="23" customFormat="false" ht="12.75" hidden="false" customHeight="false" outlineLevel="0" collapsed="false">
      <c r="A23" s="192" t="s">
        <v>76</v>
      </c>
      <c r="B23" s="193" t="n">
        <v>90.005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5" t="e">
        <f aca="false">IF(D23="",,VLOOKUP(D23,D$22:D22,1,0))</f>
        <v>#N/A</v>
      </c>
      <c r="F23" s="196" t="n">
        <f aca="false">($B23*$B$7+$C23*$C$7)/100</f>
        <v>90.005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2"/>
      <c r="M23" s="202"/>
      <c r="N23" s="202"/>
      <c r="O23" s="203"/>
      <c r="P23" s="204" t="n">
        <f aca="false">IF(ISTEXT(H23),"",(B23*$B$7/100)+(C23*$C$7/100))</f>
        <v>90.005</v>
      </c>
      <c r="Q23" s="205" t="n">
        <f aca="false">IF(OR(ISTEXT(H23),P23=0),"",IF(P23&lt;0.1,1,IF(P23&lt;1,2,IF(P23&lt;10,3,IF(P23&lt;50,4,IF(P23&gt;=50,5,""))))))</f>
        <v>5</v>
      </c>
      <c r="R23" s="205" t="n">
        <f aca="false">IF(ISERROR(Q23*I23),0,Q23*I23)</f>
        <v>50</v>
      </c>
      <c r="S23" s="205" t="n">
        <f aca="false">IF(ISERROR(Q23*I23*J23),0,Q23*I23*J23)</f>
        <v>50</v>
      </c>
      <c r="T23" s="205" t="n">
        <f aca="false">IF(ISERROR(Q23*J23),0,Q23*J23)</f>
        <v>5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MELSPX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77</v>
      </c>
      <c r="B24" s="211" t="n">
        <v>0.49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Oedogonium sp.</v>
      </c>
      <c r="E24" s="213" t="e">
        <f aca="false">IF(D24="",,VLOOKUP(D24,D$22:D23,1,0))</f>
        <v>#N/A</v>
      </c>
      <c r="F24" s="214" t="n">
        <f aca="false">($B24*$B$7+$C24*$C$7)/100</f>
        <v>0.49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Oedogonium sp.</v>
      </c>
      <c r="L24" s="218"/>
      <c r="M24" s="218"/>
      <c r="N24" s="218"/>
      <c r="O24" s="203"/>
      <c r="P24" s="204" t="n">
        <f aca="false">IF(ISTEXT(H24),"",(B24*$B$7/100)+(C24*$C$7/100))</f>
        <v>0.49</v>
      </c>
      <c r="Q24" s="205" t="n">
        <f aca="false">IF(OR(ISTEXT(H24),P24=0),"",IF(P24&lt;0.1,1,IF(P24&lt;1,2,IF(P24&lt;10,3,IF(P24&lt;50,4,IF(P24&gt;=50,5,""))))))</f>
        <v>2</v>
      </c>
      <c r="R24" s="205" t="n">
        <f aca="false">IF(ISERROR(Q24*I24),0,Q24*I24)</f>
        <v>12</v>
      </c>
      <c r="S24" s="205" t="n">
        <f aca="false">IF(ISERROR(Q24*I24*J24),0,Q24*I24*J24)</f>
        <v>24</v>
      </c>
      <c r="T24" s="219" t="n">
        <f aca="false">IF(ISERROR(Q24*J24),0,Q24*J24)</f>
        <v>4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OEDSPX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56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78</v>
      </c>
      <c r="B25" s="211" t="n">
        <v>0.005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Oscillatoria sp.       </v>
      </c>
      <c r="E25" s="213" t="e">
        <f aca="false">IF(D25="",,VLOOKUP(D25,D$22:D24,1,0))</f>
        <v>#N/A</v>
      </c>
      <c r="F25" s="214" t="n">
        <f aca="false">($B25*$B$7+$C25*$C$7)/100</f>
        <v>0.005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11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Oscillatoria sp.       </v>
      </c>
      <c r="L25" s="218"/>
      <c r="M25" s="218"/>
      <c r="N25" s="218"/>
      <c r="O25" s="203"/>
      <c r="P25" s="204" t="n">
        <f aca="false">IF(ISTEXT(H25),"",(B25*$B$7/100)+(C25*$C$7/100))</f>
        <v>0.005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11</v>
      </c>
      <c r="S25" s="205" t="n">
        <f aca="false">IF(ISERROR(Q25*I25*J25),0,Q25*I25*J25)</f>
        <v>11</v>
      </c>
      <c r="T25" s="219" t="n">
        <f aca="false">IF(ISERROR(Q25*J25),0,Q25*J25)</f>
        <v>1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OSCSPX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57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16</v>
      </c>
      <c r="B26" s="211" t="n">
        <v>25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Chiloscyphus polyanthos var. polyanthos</v>
      </c>
      <c r="E26" s="213" t="e">
        <f aca="false">IF(D26="",,VLOOKUP(D26,D$22:D25,1,0))</f>
        <v>#N/A</v>
      </c>
      <c r="F26" s="214" t="n">
        <f aca="false">($B26*$B$7+$C26*$C$7)/100</f>
        <v>25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BRh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4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Chiloscyphus polyanthos var. polyanthos</v>
      </c>
      <c r="L26" s="218"/>
      <c r="M26" s="218"/>
      <c r="N26" s="218"/>
      <c r="O26" s="203"/>
      <c r="P26" s="204" t="n">
        <f aca="false">IF(ISTEXT(H26),"",(B26*$B$7/100)+(C26*$C$7/100))</f>
        <v>25</v>
      </c>
      <c r="Q26" s="205" t="n">
        <f aca="false">IF(OR(ISTEXT(H26),P26=0),"",IF(P26&lt;0.1,1,IF(P26&lt;1,2,IF(P26&lt;10,3,IF(P26&lt;50,4,IF(P26&gt;=50,5,""))))))</f>
        <v>4</v>
      </c>
      <c r="R26" s="205" t="n">
        <f aca="false">IF(ISERROR(Q26*I26),0,Q26*I26)</f>
        <v>60</v>
      </c>
      <c r="S26" s="205" t="n">
        <f aca="false">IF(ISERROR(Q26*I26*J26),0,Q26*I26*J26)</f>
        <v>120</v>
      </c>
      <c r="T26" s="219" t="n">
        <f aca="false">IF(ISERROR(Q26*J26),0,Q26*J26)</f>
        <v>8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CHIPOL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98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79</v>
      </c>
      <c r="B27" s="211" t="n">
        <v>5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Rhynchostegium riparioides</v>
      </c>
      <c r="E27" s="213" t="e">
        <f aca="false">IF(D27="",,VLOOKUP(D27,D$22:D26,1,0))</f>
        <v>#N/A</v>
      </c>
      <c r="F27" s="214" t="n">
        <f aca="false">($B27*$B$7+$C27*$C$7)/100</f>
        <v>5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Rhynchostegium riparioides</v>
      </c>
      <c r="L27" s="218"/>
      <c r="M27" s="218"/>
      <c r="N27" s="218"/>
      <c r="O27" s="203"/>
      <c r="P27" s="204" t="n">
        <f aca="false">IF(ISTEXT(H27),"",(B27*$B$7/100)+(C27*$C$7/100))</f>
        <v>5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36</v>
      </c>
      <c r="S27" s="205" t="n">
        <f aca="false">IF(ISERROR(Q27*I27*J27),0,Q27*I27*J27)</f>
        <v>36</v>
      </c>
      <c r="T27" s="219" t="n">
        <f aca="false">IF(ISERROR(Q27*J27),0,Q27*J27)</f>
        <v>3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RHYRIP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253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80</v>
      </c>
      <c r="B28" s="211" t="n">
        <v>0.005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Callitriche hamulata</v>
      </c>
      <c r="E28" s="213" t="e">
        <f aca="false">IF(D28="",,VLOOKUP(D28,D$22:D27,1,0))</f>
        <v>#N/A</v>
      </c>
      <c r="F28" s="214" t="n">
        <f aca="false">($B28*$B$7+$C28*$C$7)/100</f>
        <v>0.005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Callitriche hamulata</v>
      </c>
      <c r="L28" s="218"/>
      <c r="M28" s="218"/>
      <c r="N28" s="218"/>
      <c r="O28" s="203"/>
      <c r="P28" s="204" t="n">
        <f aca="false">IF(ISTEXT(H28),"",(B28*$B$7/100)+(C28*$C$7/100))</f>
        <v>0.005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12</v>
      </c>
      <c r="S28" s="205" t="n">
        <f aca="false">IF(ISERROR(Q28*I28*J28),0,Q28*I28*J28)</f>
        <v>12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CALHAM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318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81</v>
      </c>
      <c r="B29" s="211" t="n">
        <v>0.001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Lemna minor</v>
      </c>
      <c r="E29" s="213" t="e">
        <f aca="false">IF(D29="",,VLOOKUP(D29,D$22:D28,1,0))</f>
        <v>#N/A</v>
      </c>
      <c r="F29" s="214" t="n">
        <f aca="false">($B29*$B$7+$C29*$C$7)/100</f>
        <v>0.001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Lemna minor</v>
      </c>
      <c r="L29" s="218"/>
      <c r="M29" s="218"/>
      <c r="N29" s="218"/>
      <c r="O29" s="203"/>
      <c r="P29" s="204" t="n">
        <f aca="false">IF(ISTEXT(H29),"",(B29*$B$7/100)+(C29*$C$7/100))</f>
        <v>0.001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10</v>
      </c>
      <c r="S29" s="205" t="n">
        <f aca="false">IF(ISERROR(Q29*I29*J29),0,Q29*I29*J29)</f>
        <v>10</v>
      </c>
      <c r="T29" s="219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LEMMIN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361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82</v>
      </c>
      <c r="B30" s="211" t="n">
        <v>35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Ranunculus fluitans</v>
      </c>
      <c r="E30" s="213" t="e">
        <f aca="false">IF(D30="",,VLOOKUP(D30,D$22:D29,1,0))</f>
        <v>#N/A</v>
      </c>
      <c r="F30" s="214" t="n">
        <f aca="false">($B30*$B$7+$C30*$C$7)/100</f>
        <v>35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Ranunculus fluitans</v>
      </c>
      <c r="L30" s="218"/>
      <c r="M30" s="218"/>
      <c r="N30" s="218"/>
      <c r="O30" s="203"/>
      <c r="P30" s="204" t="n">
        <f aca="false">IF(ISTEXT(H30),"",(B30*$B$7/100)+(C30*$C$7/100))</f>
        <v>35</v>
      </c>
      <c r="Q30" s="205" t="n">
        <f aca="false">IF(OR(ISTEXT(H30),P30=0),"",IF(P30&lt;0.1,1,IF(P30&lt;1,2,IF(P30&lt;10,3,IF(P30&lt;50,4,IF(P30&gt;=50,5,""))))))</f>
        <v>4</v>
      </c>
      <c r="R30" s="205" t="n">
        <f aca="false">IF(ISERROR(Q30*I30),0,Q30*I30)</f>
        <v>40</v>
      </c>
      <c r="S30" s="205" t="n">
        <f aca="false">IF(ISERROR(Q30*I30*J30),0,Q30*I30*J30)</f>
        <v>80</v>
      </c>
      <c r="T30" s="219" t="n">
        <f aca="false">IF(ISERROR(Q30*J30),0,Q30*J30)</f>
        <v>8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RANFLU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460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83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Glyceria fluitans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14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Glyceria fluitans</v>
      </c>
      <c r="L31" s="220"/>
      <c r="M31" s="220"/>
      <c r="N31" s="220"/>
      <c r="O31" s="221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14</v>
      </c>
      <c r="S31" s="205" t="n">
        <f aca="false">IF(ISERROR(Q31*I31*J31),0,Q31*I31*J31)</f>
        <v>28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GLYFLU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580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84</v>
      </c>
      <c r="B32" s="211" t="n">
        <v>0.005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Iris pseudacorus</v>
      </c>
      <c r="E32" s="213" t="e">
        <f aca="false">IF(D32="",,VLOOKUP(D32,D$22:D31,1,0))</f>
        <v>#N/A</v>
      </c>
      <c r="F32" s="214" t="n">
        <f aca="false">($B32*$B$7+$C32*$C$7)/100</f>
        <v>0.005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Iris pseudacorus</v>
      </c>
      <c r="L32" s="220"/>
      <c r="M32" s="220"/>
      <c r="N32" s="220"/>
      <c r="O32" s="221"/>
      <c r="P32" s="204" t="n">
        <f aca="false">IF(ISTEXT(H32),"",(B32*$B$7/100)+(C32*$C$7/100))</f>
        <v>0.005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10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IRIPSE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588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85</v>
      </c>
      <c r="B33" s="211" t="n">
        <v>3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Phalaris arundinacea</v>
      </c>
      <c r="E33" s="213" t="e">
        <f aca="false">IF(D33="",,VLOOKUP(D33,D$22:D32,1,0))</f>
        <v>#N/A</v>
      </c>
      <c r="F33" s="214" t="n">
        <f aca="false">($B33*$B$7+$C33*$C$7)/100</f>
        <v>3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Phalaris arundinacea</v>
      </c>
      <c r="L33" s="218"/>
      <c r="M33" s="218"/>
      <c r="N33" s="218"/>
      <c r="O33" s="203"/>
      <c r="P33" s="204" t="n">
        <f aca="false">IF(ISTEXT(H33),"",(B33*$B$7/100)+(C33*$C$7/100))</f>
        <v>3</v>
      </c>
      <c r="Q33" s="205" t="n">
        <f aca="false">IF(OR(ISTEXT(H33),P33=0),"",IF(P33&lt;0.1,1,IF(P33&lt;1,2,IF(P33&lt;10,3,IF(P33&lt;50,4,IF(P33&gt;=50,5,""))))))</f>
        <v>3</v>
      </c>
      <c r="R33" s="205" t="n">
        <f aca="false">IF(ISERROR(Q33*I33),0,Q33*I33)</f>
        <v>30</v>
      </c>
      <c r="S33" s="205" t="n">
        <f aca="false">IF(ISERROR(Q33*I33*J33),0,Q33*I33*J33)</f>
        <v>30</v>
      </c>
      <c r="T33" s="219" t="n">
        <f aca="false">IF(ISERROR(Q33*J33),0,Q33*J33)</f>
        <v>3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PHAARU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640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86</v>
      </c>
      <c r="B34" s="211" t="n">
        <v>0.001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Veronica beccabunga</v>
      </c>
      <c r="E34" s="213" t="e">
        <f aca="false">IF(D34="",,VLOOKUP(D34,D$21:D33,1,0))</f>
        <v>#N/A</v>
      </c>
      <c r="F34" s="222" t="n">
        <f aca="false">($B34*$B$7+$C34*$C$7)/100</f>
        <v>0.001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Veronica beccabunga</v>
      </c>
      <c r="L34" s="218"/>
      <c r="M34" s="218"/>
      <c r="N34" s="218"/>
      <c r="O34" s="203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10</v>
      </c>
      <c r="S34" s="205" t="n">
        <f aca="false">IF(ISERROR(Q34*I34*J34),0,Q34*I34*J34)</f>
        <v>10</v>
      </c>
      <c r="T34" s="219" t="n">
        <f aca="false">IF(ISERROR(Q34*J34),0,Q34*J34)</f>
        <v>1</v>
      </c>
      <c r="U34" s="206" t="str">
        <f aca="false">IF(AND(A34="",F34=0),"",IF(F34=0,"Il manque le(s) % de rec. !",""))</f>
        <v/>
      </c>
      <c r="V34" s="207"/>
      <c r="W34" s="223"/>
      <c r="X34" s="205" t="str">
        <f aca="false">IF(A34="new.cod","NEW.COD",IF(AND((Y34=""),ISTEXT(A34)),A34,IF(Y34="","",INDEX('[1]liste reference'!$A$7:$A$906,Y34))))</f>
        <v>VERBEC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690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87</v>
      </c>
      <c r="B35" s="211" t="n">
        <v>0.01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Cardamine amara</v>
      </c>
      <c r="E35" s="213" t="e">
        <f aca="false">IF(D35="",,VLOOKUP(D35,D$22:D34,1,0))</f>
        <v>#N/A</v>
      </c>
      <c r="F35" s="222" t="n">
        <f aca="false">($B35*$B$7+$C35*$C$7)/100</f>
        <v>0.01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PHg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9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Cardamine amara</v>
      </c>
      <c r="L35" s="218"/>
      <c r="M35" s="218"/>
      <c r="N35" s="218"/>
      <c r="O35" s="203"/>
      <c r="P35" s="204" t="n">
        <f aca="false">IF(ISTEXT(H35),"",(B35*$B$7/100)+(C35*$C$7/100))</f>
        <v>0.01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CAMAMA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714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2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2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2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2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2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2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2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2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2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2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2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2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2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2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2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2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2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2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2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2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2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2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2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2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2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2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2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2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2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2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2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2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2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2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2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2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2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2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2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2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2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2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2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2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2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2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88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Sioule</v>
      </c>
      <c r="B84" s="244" t="str">
        <f aca="false">C3</f>
        <v>Sioule à Montfermy</v>
      </c>
      <c r="C84" s="245" t="n">
        <f aca="false">A4</f>
        <v>40778</v>
      </c>
      <c r="D84" s="246" t="n">
        <f aca="false">IF(ISERROR(SUM($S$23:$S$82)/SUM($T$23:$T$82)),"",SUM($S$23:$S$82)/SUM($T$23:$T$82))</f>
        <v>11.0789473684211</v>
      </c>
      <c r="E84" s="247" t="n">
        <f aca="false">N13</f>
        <v>13</v>
      </c>
      <c r="F84" s="244" t="n">
        <f aca="false">N14</f>
        <v>12</v>
      </c>
      <c r="G84" s="244" t="n">
        <f aca="false">N15</f>
        <v>8</v>
      </c>
      <c r="H84" s="244" t="n">
        <f aca="false">N16</f>
        <v>4</v>
      </c>
      <c r="I84" s="244" t="n">
        <f aca="false">N17</f>
        <v>0</v>
      </c>
      <c r="J84" s="248" t="n">
        <f aca="false">N8</f>
        <v>10.8333333333333</v>
      </c>
      <c r="K84" s="246" t="n">
        <f aca="false">N9</f>
        <v>2.28963408483195</v>
      </c>
      <c r="L84" s="247" t="n">
        <f aca="false">N10</f>
        <v>6</v>
      </c>
      <c r="M84" s="247" t="n">
        <f aca="false">N11</f>
        <v>15</v>
      </c>
      <c r="N84" s="246" t="n">
        <f aca="false">O8</f>
        <v>1.33333333333333</v>
      </c>
      <c r="O84" s="246" t="n">
        <f aca="false">O9</f>
        <v>0.492365963917331</v>
      </c>
      <c r="P84" s="247" t="n">
        <f aca="false">O10</f>
        <v>1</v>
      </c>
      <c r="Q84" s="247" t="n">
        <f aca="false">O11</f>
        <v>2</v>
      </c>
      <c r="R84" s="249" t="n">
        <f aca="false">F21</f>
        <v>158.523</v>
      </c>
      <c r="S84" s="247" t="n">
        <f aca="false">K11</f>
        <v>0</v>
      </c>
      <c r="T84" s="247" t="n">
        <f aca="false">K12</f>
        <v>3</v>
      </c>
      <c r="U84" s="247" t="n">
        <f aca="false">K13</f>
        <v>2</v>
      </c>
      <c r="V84" s="250" t="n">
        <f aca="false">K14</f>
        <v>0</v>
      </c>
      <c r="W84" s="251" t="n">
        <f aca="false">K15</f>
        <v>8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89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90</v>
      </c>
      <c r="Q87" s="8"/>
      <c r="R87" s="206" t="n">
        <f aca="false">VLOOKUP(MAX($R$23:$R$82),($R$23:$T$82),1,0)</f>
        <v>60</v>
      </c>
      <c r="S87" s="8"/>
      <c r="T87" s="8"/>
      <c r="U87" s="8"/>
    </row>
    <row r="88" customFormat="false" ht="12.75" hidden="true" customHeight="false" outlineLevel="0" collapsed="false">
      <c r="P88" s="8" t="s">
        <v>91</v>
      </c>
      <c r="Q88" s="8"/>
      <c r="R88" s="206" t="n">
        <f aca="false">VLOOKUP((R87),($R$23:$T$82),2,0)</f>
        <v>120</v>
      </c>
      <c r="S88" s="8"/>
      <c r="T88" s="8"/>
      <c r="U88" s="8"/>
    </row>
    <row r="89" customFormat="false" ht="12.75" hidden="true" customHeight="false" outlineLevel="0" collapsed="false">
      <c r="P89" s="8" t="s">
        <v>92</v>
      </c>
      <c r="Q89" s="8"/>
      <c r="R89" s="206" t="n">
        <f aca="false">VLOOKUP((R87),($R$23:$T$82),3,0)</f>
        <v>8</v>
      </c>
      <c r="S89" s="8"/>
    </row>
    <row r="90" customFormat="false" ht="12.75" hidden="true" customHeight="false" outlineLevel="0" collapsed="false">
      <c r="P90" s="8" t="s">
        <v>93</v>
      </c>
      <c r="Q90" s="8"/>
      <c r="R90" s="253" t="n">
        <f aca="false">IF(ISERROR(SUM($S$23:$S$82)/SUM($T$23:$T$82)),"",(SUM($S$23:$S$82)-R88)/(SUM($T$23:$T$82)-R89))</f>
        <v>10.0333333333333</v>
      </c>
      <c r="S90" s="8"/>
    </row>
    <row r="91" customFormat="false" ht="12.75" hidden="true" customHeight="false" outlineLevel="0" collapsed="false">
      <c r="P91" s="205" t="s">
        <v>94</v>
      </c>
      <c r="Q91" s="205"/>
      <c r="R91" s="205" t="str">
        <f aca="false">INDEX('[1]liste reference'!$A$7:$A$906,$S$91)</f>
        <v>CHIPOL</v>
      </c>
      <c r="S91" s="8" t="n">
        <f aca="false">IF(ISERROR(MATCH($R$93,'[1]liste reference'!$A$7:$A$906,0)),MATCH($R$93,'[1]liste reference'!$B$7:$B$906,0),(MATCH($R$93,'[1]liste reference'!$A$7:$A$906,0)))</f>
        <v>98</v>
      </c>
      <c r="T91" s="242"/>
    </row>
    <row r="92" customFormat="false" ht="12.75" hidden="true" customHeight="false" outlineLevel="0" collapsed="false">
      <c r="P92" s="8" t="s">
        <v>95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5" t="s">
        <v>96</v>
      </c>
      <c r="Q93" s="8"/>
      <c r="R93" s="205" t="str">
        <f aca="false">INDEX($A$23:$A$82,$R$92)</f>
        <v>CHIPOL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2024-03-14T19:14:56Z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