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OUBLE" sheetId="1" state="visible" r:id="rId3"/>
  </sheets>
  <externalReferences>
    <externalReference r:id="rId4"/>
  </externalReferences>
  <definedNames>
    <definedName function="false" hidden="false" localSheetId="0" name="_xlnm.Print_Area" vbProcedure="false">BOUBLE!$A$1:$O$81</definedName>
    <definedName function="false" hidden="false" localSheetId="0" name="Excel_BuiltIn__FilterDatabase" vbProcedure="false">BOUBLE!$A$23:$J$83</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<sst xmlns="http://schemas.openxmlformats.org/spreadsheetml/2006/main" count="96" uniqueCount="92">
  <si>
    <t xml:space="preserve">Relevés floristiques aquatiques - IBMR</t>
  </si>
  <si>
    <t xml:space="preserve">GIS Macrophytes - juillet 2006</t>
  </si>
  <si>
    <t xml:space="preserve">ELEA</t>
  </si>
  <si>
    <t xml:space="preserve">A. Mignon et M.L. Wasier</t>
  </si>
  <si>
    <t xml:space="preserve">conforme AFNOR T90-395 oct. 2003</t>
  </si>
  <si>
    <t xml:space="preserve">BOUBLE</t>
  </si>
  <si>
    <t xml:space="preserve">Echassières</t>
  </si>
  <si>
    <t xml:space="preserve">04041800</t>
  </si>
  <si>
    <t xml:space="preserve">RCS Auvergne 08</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</si>
  <si>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</si>
  <si>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</si>
  <si>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</si>
  <si>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</si>
  <si>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</si>
  <si>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</si>
  <si>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</si>
  <si>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</si>
  <si>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pl. courant</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</si>
  <si>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</si>
  <si>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</si>
  <si>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</si>
  <si>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</si>
  <si>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</si>
  <si>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</si>
  <si>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</si>
  <si>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</si>
  <si>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</si>
  <si>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</si>
  <si>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</si>
  <si>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</si>
  <si>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</si>
  <si>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</si>
  <si>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</si>
  <si>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</si>
  <si>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</si>
  <si>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</si>
  <si>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</si>
  <si>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</si>
  <si>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</si>
  <si>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</si>
  <si>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</si>
  <si>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</si>
  <si>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</si>
  <si>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</si>
  <si>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</si>
  <si>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</si>
  <si>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</si>
  <si>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</si>
  <si>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</si>
  <si>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</si>
  <si>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</si>
  <si>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</si>
  <si>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</si>
  <si>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</si>
  <si>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</si>
  <si>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</si>
  <si>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</si>
  <si>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</si>
  <si>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</si>
  <si>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</si>
  <si>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</si>
  <si>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</si>
  <si>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</si>
  <si>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</si>
  <si>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</si>
  <si>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</si>
  <si>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</si>
  <si>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</si>
  <si>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</si>
  <si>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</si>
  <si>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</si>
  <si>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</si>
  <si>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</si>
  <si>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</si>
  <si>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</si>
  <si>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</si>
  <si>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</si>
  <si>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AMB.FLU</t>
  </si>
  <si>
    <t xml:space="preserve">AMB.RIP</t>
  </si>
  <si>
    <t xml:space="preserve">FIS.CRA</t>
  </si>
  <si>
    <t xml:space="preserve">FON.ANT</t>
  </si>
  <si>
    <t xml:space="preserve">RHY.RIP</t>
  </si>
  <si>
    <t xml:space="preserve">SCS.RIV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</si>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</sst>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39644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12.46875</v>
      </c>
      <c r="M5" s="51"/>
      <c r="N5" s="52" t="s">
        <v>15</v>
      </c>
      <c r="O5" s="53" t="n">
        <v>11.8846153846154</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80</v>
      </c>
      <c r="C7" s="65" t="n">
        <v>20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AVERAGE(I23:I81)</f>
        <v>11.4</v>
      </c>
      <c r="O8" s="82" t="n">
        <f aca="false">AVERAGE(J23:J81)</f>
        <v>1.8</v>
      </c>
      <c r="P8" s="8"/>
      <c r="Q8" s="8"/>
      <c r="R8" s="8"/>
      <c r="S8" s="8"/>
      <c r="T8" s="8"/>
      <c r="U8" s="8"/>
      <c r="V8" s="20"/>
      <c r="W8" s="21"/>
    </row>
    <row r="9" customFormat="false" ht="12.75" hidden="false" customHeight="false" outlineLevel="0" collapsed="false">
      <c r="A9" s="83" t="s">
        <v>28</v>
      </c>
      <c r="B9" s="84" t="n">
        <v>6.5</v>
      </c>
      <c r="C9" s="85" t="n">
        <v>2.3</v>
      </c>
      <c r="D9" s="86"/>
      <c r="E9" s="86"/>
      <c r="F9" s="87" t="n">
        <f aca="false">($B9*$B$7+$C9*$C$7)/100</f>
        <v>5.66</v>
      </c>
      <c r="G9" s="88"/>
      <c r="H9" s="89"/>
      <c r="I9" s="90"/>
      <c r="J9" s="91"/>
      <c r="K9" s="71"/>
      <c r="L9" s="92"/>
      <c r="M9" s="80" t="s">
        <v>29</v>
      </c>
      <c r="N9" s="81" t="n">
        <f aca="false">STDEV(I23:I81)</f>
        <v>3.56526452189892</v>
      </c>
      <c r="O9" s="82" t="n">
        <f aca="false">STDEV(J23:J81)</f>
        <v>0.632455532033676</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MIN(I23:I81)</f>
        <v>5</v>
      </c>
      <c r="O10" s="105" t="n">
        <f aca="false">MIN(J23:J81)</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COUNTIF($G$23:$G$81,"=HET")</f>
        <v>0</v>
      </c>
      <c r="L11" s="114"/>
      <c r="M11" s="103" t="s">
        <v>35</v>
      </c>
      <c r="N11" s="104" t="n">
        <f aca="false">MAX(I23:I81)</f>
        <v>15</v>
      </c>
      <c r="O11" s="105" t="n">
        <f aca="false">MAX(J23:J81)</f>
        <v>3</v>
      </c>
      <c r="P11" s="8"/>
      <c r="Q11" s="8"/>
      <c r="R11" s="8"/>
      <c r="S11" s="8"/>
      <c r="T11" s="8"/>
      <c r="U11" s="8"/>
    </row>
    <row r="12" customFormat="false" ht="12.75" hidden="false" customHeight="false" outlineLevel="0" collapsed="false">
      <c r="A12" s="115" t="s">
        <v>36</v>
      </c>
      <c r="B12" s="116" t="n">
        <v>3.85</v>
      </c>
      <c r="C12" s="117" t="n">
        <v>1.91</v>
      </c>
      <c r="D12" s="109"/>
      <c r="E12" s="109"/>
      <c r="F12" s="110" t="n">
        <f aca="false">($B12*$B$7+$C12*$C$7)/100</f>
        <v>3.462</v>
      </c>
      <c r="G12" s="118"/>
      <c r="H12" s="66"/>
      <c r="I12" s="119" t="s">
        <v>37</v>
      </c>
      <c r="J12" s="119"/>
      <c r="K12" s="113" t="n">
        <f aca="false">COUNTIF($G$23:$G$81,"=ALG")</f>
        <v>4</v>
      </c>
      <c r="L12" s="120"/>
      <c r="M12" s="121"/>
      <c r="N12" s="122" t="s">
        <v>31</v>
      </c>
      <c r="O12" s="123"/>
      <c r="P12" s="8"/>
      <c r="Q12" s="8"/>
      <c r="R12" s="8"/>
      <c r="S12" s="8"/>
      <c r="T12" s="8"/>
      <c r="U12" s="8"/>
    </row>
    <row r="13" customFormat="false" ht="12.75" hidden="false" customHeight="false" outlineLevel="0" collapsed="false">
      <c r="A13" s="115" t="s">
        <v>38</v>
      </c>
      <c r="B13" s="116" t="n">
        <v>2.9</v>
      </c>
      <c r="C13" s="117" t="n">
        <v>0.53</v>
      </c>
      <c r="D13" s="109"/>
      <c r="E13" s="109"/>
      <c r="F13" s="110" t="n">
        <f aca="false">($B13*$B$7+$C13*$C$7)/100</f>
        <v>2.426</v>
      </c>
      <c r="G13" s="118"/>
      <c r="H13" s="66"/>
      <c r="I13" s="119" t="s">
        <v>39</v>
      </c>
      <c r="J13" s="119"/>
      <c r="K13" s="113" t="n">
        <f aca="false">COUNTIF($G$23:$G$81,"=BRm")+COUNTIF($G$23:$G$81,"=BRh")</f>
        <v>6</v>
      </c>
      <c r="L13" s="114"/>
      <c r="M13" s="124" t="s">
        <v>40</v>
      </c>
      <c r="N13" s="125" t="n">
        <f aca="false">COUNTIF(F23:F81,"&gt;0")</f>
        <v>10</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COUNTIF($G$23:$G$81,"=PTE")</f>
        <v>0</v>
      </c>
      <c r="L14" s="114"/>
      <c r="M14" s="127" t="s">
        <v>43</v>
      </c>
      <c r="N14" s="128" t="n">
        <f aca="false">COUNTIF($I$23:$I$81,"&gt;-1")</f>
        <v>10</v>
      </c>
      <c r="O14" s="129"/>
      <c r="P14" s="8"/>
      <c r="Q14" s="8"/>
      <c r="R14" s="8"/>
      <c r="S14" s="8"/>
      <c r="T14" s="8"/>
      <c r="U14" s="8"/>
    </row>
    <row r="15" customFormat="false" ht="12.75" hidden="false" customHeight="false" outlineLevel="0" collapsed="false">
      <c r="A15" s="130" t="s">
        <v>44</v>
      </c>
      <c r="B15" s="131"/>
      <c r="C15" s="132"/>
      <c r="D15" s="109"/>
      <c r="E15" s="109"/>
      <c r="F15" s="110" t="n">
        <f aca="false">($B15*$B$7+$C15*$C$7)/100</f>
        <v>0</v>
      </c>
      <c r="G15" s="118"/>
      <c r="H15" s="66"/>
      <c r="I15" s="119" t="s">
        <v>45</v>
      </c>
      <c r="J15" s="119"/>
      <c r="K15" s="113" t="n">
        <f aca="false">(COUNTIF($G$23:$G$81,"=PHy"))+(COUNTIF($G$23:$G$81,"=PHe"))+(COUNTIF($G$23:$G$81,"=PHg"))+(COUNTIF($G$23:$G$81,"=PHx"))</f>
        <v>0</v>
      </c>
      <c r="L15" s="114"/>
      <c r="M15" s="133" t="s">
        <v>46</v>
      </c>
      <c r="N15" s="134" t="n">
        <f aca="false">COUNTIF(J23:J81,"=1")</f>
        <v>3</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COUNTIF(J23:J81,"=2")</f>
        <v>6</v>
      </c>
      <c r="O16" s="135"/>
      <c r="P16" s="8"/>
      <c r="Q16" s="8"/>
      <c r="R16" s="8"/>
      <c r="S16" s="8"/>
      <c r="T16" s="8"/>
      <c r="U16" s="8"/>
    </row>
    <row r="17" customFormat="false" ht="12.75" hidden="false" customHeight="false" outlineLevel="0" collapsed="false">
      <c r="A17" s="115" t="s">
        <v>49</v>
      </c>
      <c r="B17" s="116" t="n">
        <v>6.75</v>
      </c>
      <c r="C17" s="117" t="n">
        <v>2.44</v>
      </c>
      <c r="D17" s="109"/>
      <c r="E17" s="109"/>
      <c r="F17" s="139"/>
      <c r="G17" s="110" t="n">
        <f aca="false">($B17*$B$7+$C17*$C$7)/100</f>
        <v>5.888</v>
      </c>
      <c r="H17" s="66"/>
      <c r="I17" s="119"/>
      <c r="J17" s="119"/>
      <c r="K17" s="138"/>
      <c r="L17" s="114"/>
      <c r="M17" s="133" t="s">
        <v>50</v>
      </c>
      <c r="N17" s="134" t="n">
        <f aca="false">COUNTIF(J23:J81,"=3")</f>
        <v>1</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5.888</v>
      </c>
      <c r="G19" s="151" t="n">
        <f aca="false">SUM(G16:G18)</f>
        <v>5.888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SUM(B23:B81)</f>
        <v>6.75</v>
      </c>
      <c r="C20" s="160" t="n">
        <f aca="false">SUM(C23:C81)</f>
        <v>2.44</v>
      </c>
      <c r="D20" s="161"/>
      <c r="E20" s="162" t="s">
        <v>52</v>
      </c>
      <c r="F20" s="163" t="n">
        <f aca="false">($B20*$B$7+$C20*$C$7)/100</f>
        <v>5.888</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5.4</v>
      </c>
      <c r="C21" s="172" t="n">
        <f aca="false">C20*C7/100</f>
        <v>0.488</v>
      </c>
      <c r="D21" s="109" t="str">
        <f aca="false">IF(F21=0,"",IF((ABS(F21-F19))&gt;(0.2*F21),CONCATENATE(" rec. par taxa (",F21," %) supérieur à 20 % !"),""))</f>
        <v/>
      </c>
      <c r="E21" s="173" t="str">
        <f aca="false">IF(F21=0,"",IF((ABS(F21-F19))&gt;(0.2*F21),CONCATENATE("ATTENTION : écart entre rec. par grp (",F19," %) ","et",""),""))</f>
        <v/>
      </c>
      <c r="F21" s="174" t="n">
        <f aca="false">B21+C21</f>
        <v>5.888</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0.05</v>
      </c>
      <c r="C23" s="196" t="n">
        <v>0.01</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0.042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0.042</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0.3</v>
      </c>
      <c r="C24" s="214" t="n">
        <v>0.2</v>
      </c>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0.28</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0.28</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15</v>
      </c>
      <c r="B25" s="213" t="n">
        <v>2</v>
      </c>
      <c r="C25" s="214" t="n">
        <v>1.5</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1.9</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1.9</v>
      </c>
      <c r="Q25" s="207" t="n">
        <f aca="false">IF(OR(ISTEXT(H25),P25=0),"",IF(P25&lt;0.1,1,IF(P25&lt;1,2,IF(P25&lt;10,3,IF(P25&lt;50,4,IF(P25&gt;=50,5,""))))))</f>
        <v>3</v>
      </c>
      <c r="R25" s="207" t="n">
        <f aca="false">IF(ISERROR(Q25*I25),0,Q25*I25)</f>
        <v>45</v>
      </c>
      <c r="S25" s="207" t="n">
        <f aca="false">IF(ISERROR(Q25*I25*J25),0,Q25*I25*J25)</f>
        <v>90</v>
      </c>
      <c r="T25" s="221" t="n">
        <f aca="false">IF(ISERROR(Q25*J25),0,Q25*J25)</f>
        <v>6</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76</v>
      </c>
      <c r="B26" s="213" t="n">
        <v>1.5</v>
      </c>
      <c r="C26" s="214" t="n">
        <v>0.2</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1.24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1.24</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0.05</v>
      </c>
      <c r="C27" s="214" t="n">
        <v>0.02</v>
      </c>
      <c r="D27" s="215" t="str">
        <f aca="false">IF(ISERROR(VLOOKUP($A27,'[1]liste reference'!$A$7:$D$906,2,0)),IF(ISERROR(VLOOKUP($A27,'[1]liste reference'!$B$7:$D$906,1,0)),"",VLOOKUP($A27,'[1]liste reference'!$B$7:$D$906,1,0)),VLOOKUP($A27,'[1]liste reference'!$A$7:$D$906,2,0))</f>
        <v>Amblystegium fluviatile (Hygroamblystegium fluviatile)</v>
      </c>
      <c r="E27" s="215" t="e">
        <f aca="false">IF(D27="",0,VLOOKUP(D27,D$22:D26,1,0))</f>
        <v>#N/A</v>
      </c>
      <c r="F27" s="216" t="n">
        <f aca="false">($B27*$B$7+$C27*$C$7)/100</f>
        <v>0.044</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Amblystegium fluviatile (Hygroamblystegium fluviatile)</v>
      </c>
      <c r="L27" s="220"/>
      <c r="M27" s="220"/>
      <c r="N27" s="220"/>
      <c r="O27" s="205"/>
      <c r="P27" s="206" t="n">
        <f aca="false">IF(ISTEXT(H27),"",(B27*$B$7/100)+(C27*$C$7/100))</f>
        <v>0.044</v>
      </c>
      <c r="Q27" s="207" t="n">
        <f aca="false">IF(OR(ISTEXT(H27),P27=0),"",IF(P27&lt;0.1,1,IF(P27&lt;1,2,IF(P27&lt;10,3,IF(P27&lt;50,4,IF(P27&gt;=50,5,""))))))</f>
        <v>1</v>
      </c>
      <c r="R27" s="207" t="n">
        <f aca="false">IF(ISERROR(Q27*I27),0,Q27*I27)</f>
        <v>11</v>
      </c>
      <c r="S27" s="207" t="n">
        <f aca="false">IF(ISERROR(Q27*I27*J27),0,Q27*I27*J27)</f>
        <v>22</v>
      </c>
      <c r="T27" s="221" t="n">
        <f aca="false">IF(ISERROR(Q27*J27),0,Q27*J27)</f>
        <v>2</v>
      </c>
      <c r="U27" s="208" t="str">
        <f aca="false">IF(AND(A27="",F27=0),"",IF(F27=0,"Il manque le(s) % de rec. !",""))</f>
        <v/>
      </c>
      <c r="V27" s="209"/>
      <c r="X27" s="207" t="str">
        <f aca="false">IF(A27="new.cod","NEW.COD",IF(AND((Y27=""),ISTEXT(A27)),A27,IF(Y27="","",INDEX('[1]liste reference'!$A$7:$A$906,Y27))))</f>
        <v>AMB.FLU</v>
      </c>
      <c r="Y27" s="8" t="n">
        <f aca="false">IF(ISERROR(MATCH(A27,'[1]liste reference'!$A$7:$A$906,0)),IF(ISERROR(MATCH(A27,'[1]liste reference'!$B$7:$B$906,0)),"",(MATCH(A27,'[1]liste reference'!$B$7:$B$906,0))),(MATCH(A27,'[1]liste reference'!$A$7:$A$906,0)))</f>
        <v>148</v>
      </c>
      <c r="Z27" s="210"/>
      <c r="AA27" s="211"/>
      <c r="BB27" s="8" t="n">
        <f aca="false">IF(A27="","",1)</f>
        <v>1</v>
      </c>
    </row>
    <row r="28" customFormat="false" ht="12.75" hidden="false" customHeight="false" outlineLevel="0" collapsed="false">
      <c r="A28" s="212" t="s">
        <v>78</v>
      </c>
      <c r="B28" s="213"/>
      <c r="C28" s="214" t="n">
        <v>0.01</v>
      </c>
      <c r="D28" s="215" t="str">
        <f aca="false">IF(ISERROR(VLOOKUP($A28,'[1]liste reference'!$A$7:$D$906,2,0)),IF(ISERROR(VLOOKUP($A28,'[1]liste reference'!$B$7:$D$906,1,0)),"",VLOOKUP($A28,'[1]liste reference'!$B$7:$D$906,1,0)),VLOOKUP($A28,'[1]liste reference'!$A$7:$D$906,2,0))</f>
        <v>Amblystegium riparium (Leptodictyum riparium)</v>
      </c>
      <c r="E28" s="215" t="e">
        <f aca="false">IF(D28="",0,VLOOKUP(D28,D$22:D27,1,0))</f>
        <v>#N/A</v>
      </c>
      <c r="F28" s="216" t="n">
        <f aca="false">($B28*$B$7+$C28*$C$7)/100</f>
        <v>0.002</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Amblystegium riparium (Leptodictyum riparium)</v>
      </c>
      <c r="L28" s="220"/>
      <c r="M28" s="220"/>
      <c r="N28" s="220"/>
      <c r="O28" s="205"/>
      <c r="P28" s="206" t="n">
        <f aca="false">IF(ISTEXT(H28),"",(B28*$B$7/100)+(C28*$C$7/100))</f>
        <v>0.002</v>
      </c>
      <c r="Q28" s="207" t="n">
        <f aca="false">IF(OR(ISTEXT(H28),P28=0),"",IF(P28&lt;0.1,1,IF(P28&lt;1,2,IF(P28&lt;10,3,IF(P28&lt;50,4,IF(P28&gt;=50,5,""))))))</f>
        <v>1</v>
      </c>
      <c r="R28" s="207" t="n">
        <f aca="false">IF(ISERROR(Q28*I28),0,Q28*I28)</f>
        <v>5</v>
      </c>
      <c r="S28" s="207" t="n">
        <f aca="false">IF(ISERROR(Q28*I28*J28),0,Q28*I28*J28)</f>
        <v>10</v>
      </c>
      <c r="T28" s="221" t="n">
        <f aca="false">IF(ISERROR(Q28*J28),0,Q28*J28)</f>
        <v>2</v>
      </c>
      <c r="U28" s="208" t="str">
        <f aca="false">IF(AND(A28="",F28=0),"",IF(F28=0,"Il manque le(s) % de rec. !",""))</f>
        <v/>
      </c>
      <c r="V28" s="209"/>
      <c r="X28" s="207" t="str">
        <f aca="false">IF(A28="new.cod","NEW.COD",IF(AND((Y28=""),ISTEXT(A28)),A28,IF(Y28="","",INDEX('[1]liste reference'!$A$7:$A$906,Y28))))</f>
        <v>AMB.RIP</v>
      </c>
      <c r="Y28" s="8" t="n">
        <f aca="false">IF(ISERROR(MATCH(A28,'[1]liste reference'!$A$7:$A$906,0)),IF(ISERROR(MATCH(A28,'[1]liste reference'!$B$7:$B$906,0)),"",(MATCH(A28,'[1]liste reference'!$B$7:$B$906,0))),(MATCH(A28,'[1]liste reference'!$A$7:$A$906,0)))</f>
        <v>149</v>
      </c>
      <c r="Z28" s="210"/>
      <c r="AA28" s="211"/>
      <c r="BB28" s="8" t="n">
        <f aca="false">IF(A28="","",1)</f>
        <v>1</v>
      </c>
    </row>
    <row r="29" customFormat="false" ht="12.75" hidden="false" customHeight="false" outlineLevel="0" collapsed="false">
      <c r="A29" s="212" t="s">
        <v>79</v>
      </c>
      <c r="B29" s="213" t="n">
        <v>0.3</v>
      </c>
      <c r="C29" s="214" t="n">
        <v>0.05</v>
      </c>
      <c r="D29" s="215" t="str">
        <f aca="false">IF(ISERROR(VLOOKUP($A29,'[1]liste reference'!$A$7:$D$906,2,0)),IF(ISERROR(VLOOKUP($A29,'[1]liste reference'!$B$7:$D$906,1,0)),"",VLOOKUP($A29,'[1]liste reference'!$B$7:$D$906,1,0)),VLOOKUP($A29,'[1]liste reference'!$A$7:$D$906,2,0))</f>
        <v>Fissidens crassipes</v>
      </c>
      <c r="E29" s="215" t="e">
        <f aca="false">IF(D29="",0,VLOOKUP(D29,D$22:D28,1,0))</f>
        <v>#N/A</v>
      </c>
      <c r="F29" s="216" t="n">
        <f aca="false">($B29*$B$7+$C29*$C$7)/100</f>
        <v>0.25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Fissidens crassipes</v>
      </c>
      <c r="L29" s="220"/>
      <c r="M29" s="220"/>
      <c r="N29" s="220"/>
      <c r="O29" s="205"/>
      <c r="P29" s="206" t="n">
        <f aca="false">IF(ISTEXT(H29),"",(B29*$B$7/100)+(C29*$C$7/100))</f>
        <v>0.25</v>
      </c>
      <c r="Q29" s="207" t="n">
        <f aca="false">IF(OR(ISTEXT(H29),P29=0),"",IF(P29&lt;0.1,1,IF(P29&lt;1,2,IF(P29&lt;10,3,IF(P29&lt;50,4,IF(P29&gt;=50,5,""))))))</f>
        <v>2</v>
      </c>
      <c r="R29" s="207" t="n">
        <f aca="false">IF(ISERROR(Q29*I29),0,Q29*I29)</f>
        <v>24</v>
      </c>
      <c r="S29" s="207" t="n">
        <f aca="false">IF(ISERROR(Q29*I29*J29),0,Q29*I29*J29)</f>
        <v>48</v>
      </c>
      <c r="T29" s="221" t="n">
        <f aca="false">IF(ISERROR(Q29*J29),0,Q29*J29)</f>
        <v>4</v>
      </c>
      <c r="U29" s="208" t="str">
        <f aca="false">IF(AND(A29="",F29=0),"",IF(F29=0,"Il manque le(s) % de rec. !",""))</f>
        <v/>
      </c>
      <c r="V29" s="209"/>
      <c r="X29" s="207" t="str">
        <f aca="false">IF(A29="new.cod","NEW.COD",IF(AND((Y29=""),ISTEXT(A29)),A29,IF(Y29="","",INDEX('[1]liste reference'!$A$7:$A$906,Y29))))</f>
        <v>FIS.CRA</v>
      </c>
      <c r="Y29" s="8" t="n">
        <f aca="false">IF(ISERROR(MATCH(A29,'[1]liste reference'!$A$7:$A$906,0)),IF(ISERROR(MATCH(A29,'[1]liste reference'!$B$7:$B$906,0)),"",(MATCH(A29,'[1]liste reference'!$B$7:$B$906,0))),(MATCH(A29,'[1]liste reference'!$A$7:$A$906,0)))</f>
        <v>198</v>
      </c>
      <c r="Z29" s="210"/>
      <c r="AA29" s="211"/>
      <c r="BB29" s="8" t="n">
        <f aca="false">IF(A29="","",1)</f>
        <v>1</v>
      </c>
    </row>
    <row r="30" customFormat="false" ht="12.75" hidden="false" customHeight="false" outlineLevel="0" collapsed="false">
      <c r="A30" s="212" t="s">
        <v>80</v>
      </c>
      <c r="B30" s="213" t="n">
        <v>0.5</v>
      </c>
      <c r="C30" s="214" t="n">
        <v>0.1</v>
      </c>
      <c r="D30" s="215" t="str">
        <f aca="false">IF(ISERROR(VLOOKUP($A30,'[1]liste reference'!$A$7:$D$906,2,0)),IF(ISERROR(VLOOKUP($A30,'[1]liste reference'!$B$7:$D$906,1,0)),"",VLOOKUP($A30,'[1]liste reference'!$B$7:$D$906,1,0)),VLOOKUP($A30,'[1]liste reference'!$A$7:$D$906,2,0))</f>
        <v>Fontinalis antipyretica</v>
      </c>
      <c r="E30" s="215" t="e">
        <f aca="false">IF(D30="",0,VLOOKUP(D30,D$21:D29,1,0))</f>
        <v>#N/A</v>
      </c>
      <c r="F30" s="216" t="n">
        <f aca="false">($B30*$B$7+$C30*$C$7)/100</f>
        <v>0.42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0"/>
      <c r="M30" s="220"/>
      <c r="N30" s="220"/>
      <c r="O30" s="205"/>
      <c r="P30" s="206" t="n">
        <f aca="false">IF(ISTEXT(H30),"",(B30*$B$7/100)+(C30*$C$7/100))</f>
        <v>0.42</v>
      </c>
      <c r="Q30" s="207" t="n">
        <f aca="false">IF(OR(ISTEXT(H30),P30=0),"",IF(P30&lt;0.1,1,IF(P30&lt;1,2,IF(P30&lt;10,3,IF(P30&lt;50,4,IF(P30&gt;=50,5,""))))))</f>
        <v>2</v>
      </c>
      <c r="R30" s="207" t="n">
        <f aca="false">IF(ISERROR(Q30*I30),0,Q30*I30)</f>
        <v>20</v>
      </c>
      <c r="S30" s="207" t="n">
        <f aca="false">IF(ISERROR(Q30*I30*J30),0,Q30*I30*J30)</f>
        <v>20</v>
      </c>
      <c r="T30" s="221" t="n">
        <f aca="false">IF(ISERROR(Q30*J30),0,Q30*J30)</f>
        <v>2</v>
      </c>
      <c r="U30" s="208" t="str">
        <f aca="false">IF(AND(A30="",F30=0),"",IF(F30=0,"Il manque le(s) % de rec. !",""))</f>
        <v/>
      </c>
      <c r="V30" s="209"/>
      <c r="W30" s="222"/>
      <c r="X30" s="207" t="str">
        <f aca="false">IF(A30="new.cod","NEW.COD",IF(AND((Y30=""),ISTEXT(A30)),A30,IF(Y30="","",INDEX('[1]liste reference'!$A$7:$A$906,Y30))))</f>
        <v>FON.ANT</v>
      </c>
      <c r="Y30" s="8" t="n">
        <f aca="false">IF(ISERROR(MATCH(A30,'[1]liste reference'!$A$7:$A$906,0)),IF(ISERROR(MATCH(A30,'[1]liste reference'!$B$7:$B$906,0)),"",(MATCH(A30,'[1]liste reference'!$B$7:$B$906,0))),(MATCH(A30,'[1]liste reference'!$A$7:$A$906,0)))</f>
        <v>211</v>
      </c>
      <c r="Z30" s="210"/>
      <c r="AA30" s="211"/>
      <c r="BB30" s="8" t="n">
        <f aca="false">IF(A30="","",1)</f>
        <v>1</v>
      </c>
    </row>
    <row r="31" customFormat="false" ht="12.75" hidden="false" customHeight="false" outlineLevel="0" collapsed="false">
      <c r="A31" s="212" t="s">
        <v>81</v>
      </c>
      <c r="B31" s="213" t="n">
        <v>2</v>
      </c>
      <c r="C31" s="214" t="n">
        <v>0.3</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IF(D31="",0,VLOOKUP(D31,D$22:D30,1,0))</f>
        <v>#N/A</v>
      </c>
      <c r="F31" s="216" t="n">
        <f aca="false">($B31*$B$7+$C31*$C$7)/100</f>
        <v>1.66</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0"/>
      <c r="M31" s="220"/>
      <c r="N31" s="220"/>
      <c r="O31" s="205"/>
      <c r="P31" s="206" t="n">
        <f aca="false">IF(ISTEXT(H31),"",(B31*$B$7/100)+(C31*$C$7/100))</f>
        <v>1.66</v>
      </c>
      <c r="Q31" s="207" t="n">
        <f aca="false">IF(OR(ISTEXT(H31),P31=0),"",IF(P31&lt;0.1,1,IF(P31&lt;1,2,IF(P31&lt;10,3,IF(P31&lt;50,4,IF(P31&gt;=50,5,""))))))</f>
        <v>3</v>
      </c>
      <c r="R31" s="207" t="n">
        <f aca="false">IF(ISERROR(Q31*I31),0,Q31*I31)</f>
        <v>36</v>
      </c>
      <c r="S31" s="207" t="n">
        <f aca="false">IF(ISERROR(Q31*I31*J31),0,Q31*I31*J31)</f>
        <v>36</v>
      </c>
      <c r="T31" s="221" t="n">
        <f aca="false">IF(ISERROR(Q31*J31),0,Q31*J31)</f>
        <v>3</v>
      </c>
      <c r="U31" s="208" t="str">
        <f aca="false">IF(AND(A31="",F31=0),"",IF(F31=0,"Il manque le(s) % de rec. !",""))</f>
        <v/>
      </c>
      <c r="V31" s="209"/>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75" hidden="false" customHeight="false" outlineLevel="0" collapsed="false">
      <c r="A32" s="212" t="s">
        <v>82</v>
      </c>
      <c r="B32" s="213" t="n">
        <v>0.05</v>
      </c>
      <c r="C32" s="214" t="n">
        <v>0.05</v>
      </c>
      <c r="D32" s="215" t="str">
        <f aca="false">IF(ISERROR(VLOOKUP($A32,'[1]liste reference'!$A$7:$D$906,2,0)),IF(ISERROR(VLOOKUP($A32,'[1]liste reference'!$B$7:$D$906,1,0)),"",VLOOKUP($A32,'[1]liste reference'!$B$7:$D$906,1,0)),VLOOKUP($A32,'[1]liste reference'!$A$7:$D$906,2,0))</f>
        <v>Schistidium rivulare        </v>
      </c>
      <c r="E32" s="215" t="e">
        <f aca="false">IF(D32="",0,VLOOKUP(D32,D$22:D31,1,0))</f>
        <v>#N/A</v>
      </c>
      <c r="F32" s="216" t="n">
        <f aca="false">($B32*$B$7+$C32*$C$7)/100</f>
        <v>0.05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Schistidium rivulare        </v>
      </c>
      <c r="L32" s="223"/>
      <c r="M32" s="223"/>
      <c r="N32" s="223"/>
      <c r="O32" s="224"/>
      <c r="P32" s="206" t="n">
        <f aca="false">IF(ISTEXT(H32),"",(B32*$B$7/100)+(C32*$C$7/100))</f>
        <v>0.05</v>
      </c>
      <c r="Q32" s="207" t="n">
        <f aca="false">IF(OR(ISTEXT(H32),P32=0),"",IF(P32&lt;0.1,1,IF(P32&lt;1,2,IF(P32&lt;10,3,IF(P32&lt;50,4,IF(P32&gt;=50,5,""))))))</f>
        <v>1</v>
      </c>
      <c r="R32" s="207" t="n">
        <f aca="false">IF(ISERROR(Q32*I32),0,Q32*I32)</f>
        <v>15</v>
      </c>
      <c r="S32" s="207" t="n">
        <f aca="false">IF(ISERROR(Q32*I32*J32),0,Q32*I32*J32)</f>
        <v>45</v>
      </c>
      <c r="T32" s="221" t="n">
        <f aca="false">IF(ISERROR(Q32*J32),0,Q32*J32)</f>
        <v>3</v>
      </c>
      <c r="U32" s="208" t="str">
        <f aca="false">IF(AND(A32="",F32=0),"",IF(F32=0,"Il manque le(s) % de rec. !",""))</f>
        <v/>
      </c>
      <c r="V32" s="209"/>
      <c r="X32" s="207" t="str">
        <f aca="false">IF(A32="new.cod","NEW.COD",IF(AND((Y32=""),ISTEXT(A32)),A32,IF(Y32="","",INDEX('[1]liste reference'!$A$7:$A$906,Y32))))</f>
        <v>SCS.RIV</v>
      </c>
      <c r="Y32" s="8" t="n">
        <f aca="false">IF(ISERROR(MATCH(A32,'[1]liste reference'!$A$7:$A$906,0)),IF(ISERROR(MATCH(A32,'[1]liste reference'!$B$7:$B$906,0)),"",(MATCH(A32,'[1]liste reference'!$B$7:$B$906,0))),(MATCH(A32,'[1]liste reference'!$A$7:$A$906,0)))</f>
        <v>256</v>
      </c>
      <c r="Z32" s="210"/>
      <c r="AA32" s="211"/>
      <c r="BB32" s="8" t="n">
        <f aca="false">IF(A32="","",1)</f>
        <v>1</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25"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26"/>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tru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28"/>
      <c r="B81" s="229"/>
      <c r="C81" s="230"/>
      <c r="D81" s="231" t="str">
        <f aca="false">IF(ISERROR(VLOOKUP($A81,'[1]liste reference'!$A$7:$D$906,2,0)),IF(ISERROR(VLOOKUP($A81,'[1]liste reference'!$B$7:$D$906,1,0)),"",VLOOKUP($A81,'[1]liste reference'!$B$7:$D$906,1,0)),VLOOKUP($A81,'[1]liste reference'!$A$7:$D$906,2,0))</f>
        <v/>
      </c>
      <c r="E81" s="232" t="n">
        <f aca="false">IF(D81="",0,VLOOKUP(D81,D$20:D79,1,0))</f>
        <v>0</v>
      </c>
      <c r="F81" s="233" t="n">
        <f aca="false">($B81*$B$7+$C81*$C$7)/100</f>
        <v>0</v>
      </c>
      <c r="G81" s="234"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35" t="str">
        <f aca="false">IF(ISNUMBER(H81),IF(ISERROR(VLOOKUP($A81,'[1]liste reference'!$A$7:$P$906,3,0)),IF(ISERROR(VLOOKUP($A81,'[1]liste reference'!$B$7:$P$906,2,0)),"",VLOOKUP($A81,'[1]liste reference'!$B$7:$P$906,2,0)),VLOOKUP($A81,'[1]liste reference'!$A$7:$P$906,3,0)),"")</f>
        <v/>
      </c>
      <c r="J81" s="235" t="str">
        <f aca="false">IF(ISNUMBER(H81),IF(ISERROR(VLOOKUP($A81,'[1]liste reference'!$A$7:$P$906,4,0)),IF(ISERROR(VLOOKUP($A81,'[1]liste reference'!$B$7:$P$906,3,0)),"",VLOOKUP($A81,'[1]liste reference'!$B$7:$P$906,3,0)),VLOOKUP($A81,'[1]liste reference'!$A$7:$P$906,4,0)),"")</f>
        <v/>
      </c>
      <c r="K81" s="236" t="str">
        <f aca="false">IF(A81="NEW.COD",AA81,IF(ISTEXT($E81),"DEJA SAISI !",IF(A81="","",IF(ISERROR(VLOOKUP($A81,'[1]liste reference'!$A$7:$D$906,2,0)),IF(ISERROR(VLOOKUP($A81,'[1]liste reference'!$B$7:$D$906,1,0)),"code non répertorié ou synonyme",VLOOKUP($A81,'[1]liste reference'!$B$7:$D$906,1,0)),VLOOKUP(A81,'[1]liste reference'!$A$7:$D$906,2,0)))))</f>
        <v/>
      </c>
      <c r="L81" s="237"/>
      <c r="M81" s="237"/>
      <c r="N81" s="237"/>
      <c r="O81" s="238"/>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39"/>
      <c r="W81" s="240"/>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3.8" hidden="true" customHeight="false" outlineLevel="0" collapsed="false">
      <c r="A82" s="241" t="s">
        <v>83</v>
      </c>
      <c r="B82" s="152"/>
      <c r="C82" s="152"/>
      <c r="D82" s="152"/>
      <c r="E82" s="152"/>
      <c r="F82" s="152"/>
      <c r="G82" s="152"/>
      <c r="H82" s="152"/>
      <c r="I82" s="152"/>
      <c r="J82" s="152"/>
      <c r="K82" s="152"/>
      <c r="L82" s="152"/>
      <c r="M82" s="207"/>
      <c r="N82" s="207"/>
      <c r="O82" s="242"/>
      <c r="P82" s="242"/>
      <c r="Q82" s="242"/>
      <c r="R82" s="242"/>
      <c r="S82" s="8"/>
      <c r="T82" s="8"/>
      <c r="U82" s="242"/>
      <c r="V82" s="242"/>
      <c r="W82" s="242"/>
      <c r="X82" s="243"/>
      <c r="Y82" s="243"/>
      <c r="Z82" s="243"/>
      <c r="AA82" s="244"/>
      <c r="AB82" s="244"/>
      <c r="AC82" s="244"/>
    </row>
    <row r="83" customFormat="false" ht="12.75" hidden="true" customHeight="false" outlineLevel="0" collapsed="false">
      <c r="A83" s="245" t="str">
        <f aca="false">A3</f>
        <v>BOUBLE</v>
      </c>
      <c r="B83" s="246" t="str">
        <f aca="false">C3</f>
        <v>Echassières</v>
      </c>
      <c r="C83" s="247" t="n">
        <f aca="false">A4</f>
        <v>39644</v>
      </c>
      <c r="D83" s="248" t="n">
        <f aca="false">IF(ISERROR(SUM($S$23:$S$81)/SUM($T$23:$T$81)),"",SUM($S$23:$S$81)/SUM($T$23:$T$81))</f>
        <v>12.46875</v>
      </c>
      <c r="E83" s="249" t="n">
        <f aca="false">N13</f>
        <v>10</v>
      </c>
      <c r="F83" s="250" t="n">
        <f aca="false">N14</f>
        <v>10</v>
      </c>
      <c r="G83" s="250" t="n">
        <f aca="false">N15</f>
        <v>3</v>
      </c>
      <c r="H83" s="250" t="n">
        <f aca="false">N16</f>
        <v>6</v>
      </c>
      <c r="I83" s="250" t="n">
        <f aca="false">N17</f>
        <v>1</v>
      </c>
      <c r="J83" s="251" t="n">
        <f aca="false">N8</f>
        <v>11.4</v>
      </c>
      <c r="K83" s="248" t="n">
        <f aca="false">N9</f>
        <v>3.56526452189892</v>
      </c>
      <c r="L83" s="249" t="n">
        <f aca="false">N10</f>
        <v>5</v>
      </c>
      <c r="M83" s="249" t="n">
        <f aca="false">N11</f>
        <v>15</v>
      </c>
      <c r="N83" s="248" t="n">
        <f aca="false">O8</f>
        <v>1.8</v>
      </c>
      <c r="O83" s="248" t="n">
        <f aca="false">O9</f>
        <v>0.632455532033676</v>
      </c>
      <c r="P83" s="249" t="n">
        <f aca="false">O10</f>
        <v>1</v>
      </c>
      <c r="Q83" s="249" t="n">
        <f aca="false">O11</f>
        <v>3</v>
      </c>
      <c r="R83" s="252" t="n">
        <f aca="false">F21</f>
        <v>5.888</v>
      </c>
      <c r="S83" s="249" t="n">
        <f aca="false">K11</f>
        <v>0</v>
      </c>
      <c r="T83" s="249" t="n">
        <f aca="false">K12</f>
        <v>4</v>
      </c>
      <c r="U83" s="249" t="n">
        <f aca="false">K13</f>
        <v>6</v>
      </c>
      <c r="V83" s="253" t="n">
        <f aca="false">K14</f>
        <v>0</v>
      </c>
      <c r="W83" s="254" t="n">
        <f aca="false">K15</f>
        <v>0</v>
      </c>
      <c r="Y83" s="227"/>
      <c r="Z83" s="227"/>
      <c r="AA83" s="244"/>
      <c r="AB83" s="244"/>
      <c r="AC83" s="244"/>
    </row>
    <row r="84" customFormat="false" ht="12.75" hidden="true" customHeight="false" outlineLevel="0" collapsed="false">
      <c r="P84" s="8"/>
      <c r="Q84" s="8"/>
      <c r="R84" s="8"/>
      <c r="S84" s="8"/>
      <c r="T84" s="8"/>
      <c r="U84" s="8"/>
    </row>
    <row r="85" customFormat="false" ht="12.75" hidden="true" customHeight="false" outlineLevel="0" collapsed="false">
      <c r="P85" s="255" t="s">
        <v>84</v>
      </c>
      <c r="Q85" s="8"/>
      <c r="R85" s="208"/>
      <c r="S85" s="8"/>
      <c r="T85" s="8"/>
      <c r="U85" s="8"/>
    </row>
    <row r="86" customFormat="false" ht="12.75" hidden="true" customHeight="false" outlineLevel="0" collapsed="false">
      <c r="P86" s="8" t="s">
        <v>85</v>
      </c>
      <c r="Q86" s="8"/>
      <c r="R86" s="208" t="n">
        <f aca="false">VLOOKUP(MAX($R$23:$R$81),($R$23:$T$81),1,0)</f>
        <v>45</v>
      </c>
      <c r="S86" s="8"/>
      <c r="T86" s="8"/>
      <c r="U86" s="8"/>
    </row>
    <row r="87" customFormat="false" ht="12.75" hidden="true" customHeight="false" outlineLevel="0" collapsed="false">
      <c r="P87" s="8" t="s">
        <v>86</v>
      </c>
      <c r="Q87" s="8"/>
      <c r="R87" s="208" t="n">
        <f aca="false">VLOOKUP((R86),($R$23:$T$81),2,0)</f>
        <v>90</v>
      </c>
      <c r="S87" s="8"/>
      <c r="T87" s="8"/>
      <c r="U87" s="8"/>
    </row>
    <row r="88" customFormat="false" ht="12.75" hidden="true" customHeight="false" outlineLevel="0" collapsed="false">
      <c r="P88" s="8" t="s">
        <v>87</v>
      </c>
      <c r="Q88" s="8"/>
      <c r="R88" s="208" t="n">
        <f aca="false">VLOOKUP((R86),($R$23:$T$81),3,0)</f>
        <v>6</v>
      </c>
      <c r="S88" s="8"/>
    </row>
    <row r="89" customFormat="false" ht="12.75" hidden="true" customHeight="false" outlineLevel="0" collapsed="false">
      <c r="P89" s="8" t="s">
        <v>88</v>
      </c>
      <c r="Q89" s="8"/>
      <c r="R89" s="256" t="n">
        <f aca="false">IF(ISERROR(SUM($S$23:$S$81)/SUM($T$23:$T$81)),"",(SUM($S$23:$S$81)-R87)/(SUM($T$23:$T$81)-R88))</f>
        <v>11.8846153846154</v>
      </c>
      <c r="S89" s="8"/>
    </row>
    <row r="90" customFormat="false" ht="12.75" hidden="true" customHeight="false" outlineLevel="0" collapsed="false">
      <c r="P90" s="207" t="s">
        <v>89</v>
      </c>
      <c r="Q90" s="207"/>
      <c r="R90" s="207" t="str">
        <f aca="false">INDEX('[1]liste reference'!$A$7:$A$906,$S$90)</f>
        <v>HIL.SPX</v>
      </c>
      <c r="S90" s="8" t="n">
        <f aca="false">IF(ISERROR(MATCH($R$92,'[1]liste reference'!$A$7:$A$906,0)),MATCH($R$92,'[1]liste reference'!$B$7:$B$906,0),(MATCH($R$92,'[1]liste reference'!$A$7:$A$906,0)))</f>
        <v>31</v>
      </c>
      <c r="T90" s="244"/>
    </row>
    <row r="91" customFormat="false" ht="12.75" hidden="true" customHeight="false" outlineLevel="0" collapsed="false">
      <c r="P91" s="8" t="s">
        <v>90</v>
      </c>
      <c r="Q91" s="8"/>
      <c r="R91" s="8" t="n">
        <f aca="false">MATCH(R86,$R$23:$R$81,0)</f>
        <v>3</v>
      </c>
      <c r="S91" s="8"/>
    </row>
    <row r="92" customFormat="false" ht="12.75" hidden="true" customHeight="false" outlineLevel="0" collapsed="false">
      <c r="P92" s="207" t="s">
        <v>91</v>
      </c>
      <c r="Q92" s="8"/>
      <c r="R92" s="207" t="str">
        <f aca="false">INDEX($A$23:$A$81,$R$91)</f>
        <v>HIL.SPX</v>
      </c>
      <c r="S92" s="8"/>
    </row>
    <row r="93" customFormat="false" ht="12.75" hidden="false" customHeight="false" outlineLevel="0" collapsed="false">
      <c r="R93" s="244"/>
    </row>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2:Y82"/>
  </mergeCells>
  <conditionalFormatting sqref="A23:A81">
    <cfRule type="expression" priority="2" aboveAverage="0" equalAverage="0" bottom="0" percent="0" rank="0" text="" dxfId="0">
      <formula>ISTEXT($E23)</formula>
    </cfRule>
  </conditionalFormatting>
  <conditionalFormatting sqref="H23:J81">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1 K23:K81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AND(#ref!="",#ref!="")</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1"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1"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1"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1" type="none">
      <formula1>0</formula1>
      <formula2>0</formula2>
    </dataValidation>
    <dataValidation allowBlank="false" error="Veuillez sélectionner Cf. dans la liste déroulante" errorStyle="stop" errorTitle="ATTENTION" operator="between" showDropDown="false" showErrorMessage="true" showInputMessage="false" sqref="Z23:Z81"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2024-03-12T20:56:13Z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