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_04043200" sheetId="1" state="visible" r:id="rId3"/>
  </sheets>
  <definedNames>
    <definedName function="false" hidden="false" localSheetId="0" name="Excel_BuiltIn_Print_Area" vbProcedure="false">Allier_04043200!$A$1:$O$45</definedName>
    <definedName function="false" hidden="false" localSheetId="0" name="Excel_BuiltIn__FilterDatabase" vbProcedure="false">Allier_04043200!$A$23:$J$84</definedName>
    <definedName function="false" hidden="false" localSheetId="0" name="NOM" vbProcedure="false">Allier_04043200!$H$1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30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13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16</xdr:rowOff>
              </xdr:from>
              <xdr:to>
                <xdr:col>6</xdr:col>
                <xdr:colOff>49</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5</xdr:rowOff>
              </xdr:from>
              <xdr:to>
                <xdr:col>10</xdr:col>
                <xdr:colOff>14</xdr:colOff>
                <xdr:row>2</xdr:row>
                <xdr:rowOff>12</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15</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0</xdr:rowOff>
              </xdr:from>
              <xdr:to>
                <xdr:col>10</xdr:col>
                <xdr:colOff>20</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13</xdr:rowOff>
              </xdr:from>
              <xdr:to>
                <xdr:col>10</xdr:col>
                <xdr:colOff>12</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5</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12</xdr:row>
                <xdr:rowOff>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4</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13</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5</xdr:rowOff>
              </xdr:from>
              <xdr:to>
                <xdr:col>13</xdr:col>
                <xdr:colOff>10</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13</xdr:rowOff>
              </xdr:from>
              <xdr:to>
                <xdr:col>12</xdr:col>
                <xdr:colOff>3</xdr:colOff>
                <xdr:row>22</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4</xdr:rowOff>
              </xdr:from>
              <xdr:to>
                <xdr:col>14</xdr:col>
                <xdr:colOff>51</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12</xdr:row>
                <xdr:rowOff>11</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7</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14</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12</xdr:row>
                <xdr:rowOff>13</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10</xdr:row>
                <xdr:rowOff>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25</xdr:row>
                <xdr:rowOff>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13</xdr:row>
                <xdr:rowOff>16</xdr:rowOff>
              </xdr:from>
              <xdr:to>
                <xdr:col>28</xdr:col>
                <xdr:colOff>5</xdr:colOff>
                <xdr:row>17</xdr:row>
                <xdr:rowOff>17</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27</xdr:row>
                <xdr:rowOff>2</xdr:rowOff>
              </xdr:to>
            </anchor>
          </commentPr>
        </mc:Choice>
        <mc:Fallback/>
      </mc:AlternateContent>
    </comment>
  </commentList>
</comments>
</file>

<file path=xl/sharedStrings.xml><?xml version="1.0" encoding="utf-8"?>
<sst xmlns="http://schemas.openxmlformats.org/spreadsheetml/2006/main" count="109" uniqueCount="104">
  <si>
    <t xml:space="preserve">Relevés floristiques aquatiques - IBMR</t>
  </si>
  <si>
    <t xml:space="preserve">Formulaire modèle GIS Macrophytes v_3.3 -mai 2012</t>
  </si>
  <si>
    <t xml:space="preserve">CARICAIE</t>
  </si>
  <si>
    <t xml:space="preserve">conforme AFNOR T90-395 oct. 2003</t>
  </si>
  <si>
    <t xml:space="preserve">ALLIER</t>
  </si>
  <si>
    <t xml:space="preserve">CHATEL DE NEUVRE</t>
  </si>
  <si>
    <t xml:space="preserve">04043200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</si>
  <si>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</si>
  <si>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</si>
  <si>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</si>
  <si>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</si>
  <si>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</si>
  <si>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</si>
  <si>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</si>
  <si>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</si>
  <si>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</si>
  <si>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</si>
  <si>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</si>
  <si>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</si>
  <si>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</si>
  <si>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(très élevé)</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</si>
  <si>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</si>
  <si>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</si>
  <si>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</si>
  <si>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</si>
  <si>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</si>
  <si>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</si>
  <si>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</si>
  <si>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</si>
  <si>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</si>
  <si>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</si>
  <si>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</si>
  <si>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</si>
  <si>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</si>
  <si>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</si>
  <si>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</si>
  <si>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</si>
  <si>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</si>
  <si>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</si>
  <si>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</si>
  <si>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</si>
  <si>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</si>
  <si>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</si>
  <si>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</si>
  <si>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</si>
  <si>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</si>
  <si>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</si>
  <si>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</si>
  <si>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</si>
  <si>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</si>
  <si>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</si>
  <si>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</si>
  <si>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</si>
  <si>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</si>
  <si>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</si>
  <si>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</si>
  <si>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</si>
  <si>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</si>
  <si>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(1.2125 %)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</si>
  <si>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</si>
  <si>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</si>
  <si>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</si>
  <si>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</si>
  <si>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</si>
  <si>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</si>
  <si>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</si>
  <si>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</si>
  <si>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</si>
  <si>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</si>
  <si>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</si>
  <si>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</si>
  <si>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</si>
  <si>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</si>
  <si>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</si>
  <si>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</si>
  <si>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</si>
  <si>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</si>
  <si>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</si>
  <si>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</si>
  <si>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RHISPX</t>
  </si>
  <si>
    <t xml:space="preserve">STISPX</t>
  </si>
  <si>
    <t xml:space="preserve">CALPLA</t>
  </si>
  <si>
    <t xml:space="preserve">LEMMIN</t>
  </si>
  <si>
    <t xml:space="preserve">POTNOD</t>
  </si>
  <si>
    <t xml:space="preserve">RANFLU</t>
  </si>
  <si>
    <t xml:space="preserve">SPRPOL</t>
  </si>
  <si>
    <t xml:space="preserve">AGRSTO</t>
  </si>
  <si>
    <t xml:space="preserve">CARSPX</t>
  </si>
  <si>
    <t xml:space="preserve">LUDPEP</t>
  </si>
  <si>
    <t xml:space="preserve">LYTSAL</t>
  </si>
  <si>
    <t xml:space="preserve">PHAARU</t>
  </si>
  <si>
    <t xml:space="preserve">RORAMP</t>
  </si>
  <si>
    <t xml:space="preserve">SPAERE</t>
  </si>
  <si>
    <t xml:space="preserve">RUBSPX</t>
  </si>
  <si>
    <t xml:space="preserve">SALSPX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</si>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</sst>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5" borderId="23" xfId="0" applyFont="true" applyBorder="true" applyAlignment="true" applyProtection="true">
      <alignment horizontal="left" vertical="top" textRotation="0" wrapText="false" indent="0" shrinkToFit="false"/>
      <protection locked="true" hidden="true"/>
    </xf>
    <xf numFmtId="167" fontId="14" fillId="5"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7" fillId="3"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0"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0" borderId="42" xfId="0" applyFont="true" applyBorder="true" applyAlignment="true" applyProtection="true">
      <alignment horizontal="center" vertical="bottom" textRotation="0" wrapText="false" indent="0" shrinkToFit="false"/>
      <protection locked="false" hidden="false"/>
    </xf>
    <xf numFmtId="167" fontId="0" fillId="10"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0" borderId="51" xfId="0" applyFont="true" applyBorder="true" applyAlignment="true" applyProtection="true">
      <alignment horizontal="center" vertical="bottom" textRotation="0" wrapText="false" indent="0" shrinkToFit="false"/>
      <protection locked="false" hidden="false"/>
    </xf>
    <xf numFmtId="167" fontId="0"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8" fontId="27" fillId="3" borderId="26" xfId="0" applyFont="true" applyBorder="true" applyAlignment="true" applyProtection="true">
      <alignment horizontal="general" vertical="bottom" textRotation="0" wrapText="false" indent="0" shrinkToFit="false"/>
      <protection locked="true" hidden="true"/>
    </xf>
    <xf numFmtId="168"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4" activeCellId="0" sqref="K4"/>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8"/>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2"/>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41101</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8.15</v>
      </c>
      <c r="M5" s="52"/>
      <c r="N5" s="53"/>
      <c r="O5" s="54" t="n">
        <v>7.6875</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85</v>
      </c>
      <c r="C7" s="67" t="n">
        <v>15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0.3</v>
      </c>
      <c r="C9" s="86" t="n">
        <v>6</v>
      </c>
      <c r="D9" s="87"/>
      <c r="E9" s="87"/>
      <c r="F9" s="88" t="n">
        <f aca="false">($B9*$B$7+$C9*$C$7)/100</f>
        <v>1.155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v>
      </c>
      <c r="C12" s="117" t="n">
        <v>0.03</v>
      </c>
      <c r="D12" s="109"/>
      <c r="E12" s="109"/>
      <c r="F12" s="110" t="n">
        <f aca="false">($B12*$B$7+$C12*$C$7)/100</f>
        <v>0.0045</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v>
      </c>
      <c r="C13" s="117" t="n">
        <v>0</v>
      </c>
      <c r="D13" s="109"/>
      <c r="E13" s="109"/>
      <c r="F13" s="110" t="n">
        <f aca="false">($B13*$B$7+$C13*$C$7)/100</f>
        <v>0</v>
      </c>
      <c r="G13" s="118"/>
      <c r="H13" s="68"/>
      <c r="I13" s="119" t="s">
        <v>39</v>
      </c>
      <c r="J13" s="119"/>
      <c r="K13" s="113" t="n">
        <f aca="false">COUNTIF($G$23:$G$82,"=BRm")+COUNTIF($G$23:$G$82,"=BRh")</f>
        <v>0</v>
      </c>
      <c r="L13" s="114"/>
      <c r="M13" s="125" t="s">
        <v>40</v>
      </c>
      <c r="N13" s="126" t="n">
        <f aca="false">COUNTIF(F23:F82,"&gt;0")</f>
        <v>17</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0.32</v>
      </c>
      <c r="C15" s="134" t="n">
        <v>6.23</v>
      </c>
      <c r="D15" s="109"/>
      <c r="E15" s="109"/>
      <c r="F15" s="110" t="n">
        <f aca="false">($B15*$B$7+$C15*$C$7)/100</f>
        <v>1.2065</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0.05</v>
      </c>
      <c r="D16" s="138"/>
      <c r="E16" s="138"/>
      <c r="F16" s="139" t="n">
        <f aca="false">($B16*$B$7+$C16*$C$7)/100</f>
        <v>0.0075</v>
      </c>
      <c r="G16" s="139" t="n">
        <f aca="false">($B16*$B$7+$C16*$C$7)/100</f>
        <v>0.0075</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0.16</v>
      </c>
      <c r="C17" s="117" t="n">
        <v>5.17</v>
      </c>
      <c r="D17" s="109"/>
      <c r="E17" s="109"/>
      <c r="F17" s="141" t="n">
        <f aca="false">($B17*$B$7+$C17*$C$7)/100</f>
        <v>0.9115</v>
      </c>
      <c r="G17" s="110" t="n">
        <f aca="false">($B17*$B$7+$C17*$C$7)/100</f>
        <v>0.9115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0.16</v>
      </c>
      <c r="C18" s="144" t="n">
        <v>1.05</v>
      </c>
      <c r="D18" s="109"/>
      <c r="E18" s="145" t="s">
        <v>52</v>
      </c>
      <c r="F18" s="141" t="n">
        <f aca="false">($B18*$B$7+$C18*$C$7)/100</f>
        <v>0.2935</v>
      </c>
      <c r="G18" s="110" t="n">
        <f aca="false">($B18*$B$7+$C18*$C$7)/100</f>
        <v>0.2935</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ATTENTION : le total par grp. floristiques doit être égal</v>
      </c>
      <c r="E19" s="153" t="str">
        <f aca="false">IF(G19=F19,"","au total par grp. Fonctionnels !")</f>
        <v>au total par grp. Fonctionnels !</v>
      </c>
      <c r="F19" s="154" t="n">
        <f aca="false">SUM(F11:F15)</f>
        <v>1.211</v>
      </c>
      <c r="G19" s="154" t="n">
        <f aca="false">SUM(G16:G18)</f>
        <v>1.2125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0.32</v>
      </c>
      <c r="C20" s="164" t="n">
        <f aca="false">SUM(C23:C82)</f>
        <v>6.27</v>
      </c>
      <c r="D20" s="165"/>
      <c r="E20" s="166" t="s">
        <v>52</v>
      </c>
      <c r="F20" s="167" t="n">
        <f aca="false">($B20*$B$7+$C20*$C$7)/100</f>
        <v>1.2125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0.272</v>
      </c>
      <c r="C21" s="177" t="n">
        <f aca="false">C20*C7/100</f>
        <v>0.9405</v>
      </c>
      <c r="D21" s="109" t="str">
        <f aca="false">IF(F21=0,"",IF((ABS(F21-F19))&gt;(0.2*F21),CONCATENATE(" rec. par taxa (",F21," %) supérieur à 20 % !"),""))</f>
        <v/>
      </c>
      <c r="E21" s="178" t="str">
        <f aca="false">IF(F21=0,"",IF((ABS(F21-F19))&gt;(0.2*F21),CONCATENATE("ATTENTION : écart entre rec. par grp (",F19," %) ","et",""),""))</f>
        <v/>
      </c>
      <c r="F21" s="179" t="n">
        <f aca="false">B21+C21</f>
        <v>1.2125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c r="C23" s="203" t="n">
        <v>0.01</v>
      </c>
      <c r="D23" s="204" t="str">
        <f aca="false">IF(ISERROR(VLOOKUP($A23,,2,0)),IF(ISERROR(VLOOKUP($A23,,1,0)),"",VLOOKUP($A23,,1,0)),VLOOKUP($A23,,2,0))</f>
        <v/>
      </c>
      <c r="E23" s="205" t="n">
        <f aca="false">IF(D23="",0,VLOOKUP(D23,D$22:D22,1,0))</f>
        <v>0</v>
      </c>
      <c r="F23" s="206" t="n">
        <f aca="false">($B23*$B$7+$C23*$C$7)/100</f>
        <v>0.0015</v>
      </c>
      <c r="G23" s="207" t="str">
        <f aca="false">IF(A23="","",IF(ISERROR(VLOOKUP($A23,,13,0)),IF(ISERROR(VLOOKUP($A23,,12,0)),"    -",VLOOKUP($A23,,12,0)),VLOOKUP($A23,,13,0)))</f>
        <v>-</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1</v>
      </c>
      <c r="W23" s="217"/>
      <c r="Y23" s="215" t="str">
        <f aca="false">IF(A23="new.cod","NEWCOD",IF(AND((Z23=""),ISTEXT(A23)),A23,IF(Z23="","",INDEX(,Z23))))</f>
        <v>CLASPX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c r="C24" s="203" t="n">
        <v>0.01</v>
      </c>
      <c r="D24" s="204" t="str">
        <f aca="false">IF(ISERROR(VLOOKUP($A24,,2,0)),IF(ISERROR(VLOOKUP($A24,,1,0)),"",VLOOKUP($A24,,1,0)),VLOOKUP($A24,,2,0))</f>
        <v/>
      </c>
      <c r="E24" s="205" t="n">
        <f aca="false">IF(D24="",0,VLOOKUP(D24,D$22:D23,1,0))</f>
        <v>0</v>
      </c>
      <c r="F24" s="206" t="n">
        <f aca="false">($B24*$B$7+$C24*$C$7)/100</f>
        <v>0.0015</v>
      </c>
      <c r="G24" s="207" t="str">
        <f aca="false">IF(A24="","",IF(ISERROR(VLOOKUP($A24,,13,0)),IF(ISERROR(VLOOKUP($A24,,12,0)),"    -",VLOOKUP($A24,,12,0)),VLOOKUP($A24,,13,0)))</f>
        <v>-</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2</v>
      </c>
      <c r="W24" s="217"/>
      <c r="X24" s="217"/>
      <c r="Y24" s="215" t="str">
        <f aca="false">IF(A24="new.cod","NEWCOD",IF(AND((Z24=""),ISTEXT(A24)),A24,IF(Z24="","",INDEX(,Z24))))</f>
        <v>RHISPX</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c r="C25" s="203" t="n">
        <v>0.01</v>
      </c>
      <c r="D25" s="204" t="str">
        <f aca="false">IF(ISERROR(VLOOKUP($A25,,2,0)),IF(ISERROR(VLOOKUP($A25,,1,0)),"",VLOOKUP($A25,,1,0)),VLOOKUP($A25,,2,0))</f>
        <v/>
      </c>
      <c r="E25" s="205" t="n">
        <f aca="false">IF(D25="",0,VLOOKUP(D25,D$22:D24,1,0))</f>
        <v>0</v>
      </c>
      <c r="F25" s="206" t="n">
        <f aca="false">($B25*$B$7+$C25*$C$7)/100</f>
        <v>0.0015</v>
      </c>
      <c r="G25" s="207" t="str">
        <f aca="false">IF(A25="","",IF(ISERROR(VLOOKUP($A25,,13,0)),IF(ISERROR(VLOOKUP($A25,,12,0)),"    -",VLOOKUP($A25,,12,0)),VLOOKUP($A25,,13,0)))</f>
        <v>-</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2</v>
      </c>
      <c r="W25" s="217"/>
      <c r="Y25" s="215" t="str">
        <f aca="false">IF(A25="new.cod","NEWCOD",IF(AND((Z25=""),ISTEXT(A25)),A25,IF(Z25="","",INDEX(,Z25))))</f>
        <v>STISPX</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c r="C26" s="203" t="n">
        <v>0.01</v>
      </c>
      <c r="D26" s="204" t="str">
        <f aca="false">IF(ISERROR(VLOOKUP($A26,,2,0)),IF(ISERROR(VLOOKUP($A26,,1,0)),"",VLOOKUP($A26,,1,0)),VLOOKUP($A26,,2,0))</f>
        <v/>
      </c>
      <c r="E26" s="205" t="n">
        <f aca="false">IF(D26="",0,VLOOKUP(D26,D$22:D25,1,0))</f>
        <v>0</v>
      </c>
      <c r="F26" s="206" t="n">
        <f aca="false">($B26*$B$7+$C26*$C$7)/100</f>
        <v>0.0015</v>
      </c>
      <c r="G26" s="207" t="str">
        <f aca="false">IF(A26="","",IF(ISERROR(VLOOKUP($A26,,13,0)),IF(ISERROR(VLOOKUP($A26,,12,0)),"    -",VLOOKUP($A26,,12,0)),VLOOKUP($A26,,13,0)))</f>
        <v>-</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1</v>
      </c>
      <c r="W26" s="217"/>
      <c r="Y26" s="215" t="str">
        <f aca="false">IF(A26="new.cod","NEWCOD",IF(AND((Z26=""),ISTEXT(A26)),A26,IF(Z26="","",INDEX(,Z26))))</f>
        <v>CALPLA</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c r="C27" s="203" t="n">
        <v>0.05</v>
      </c>
      <c r="D27" s="204" t="str">
        <f aca="false">IF(ISERROR(VLOOKUP($A27,,2,0)),IF(ISERROR(VLOOKUP($A27,,1,0)),"",VLOOKUP($A27,,1,0)),VLOOKUP($A27,,2,0))</f>
        <v/>
      </c>
      <c r="E27" s="205" t="n">
        <f aca="false">IF(D27="",0,VLOOKUP(D27,D$22:D26,1,0))</f>
        <v>0</v>
      </c>
      <c r="F27" s="206" t="n">
        <f aca="false">($B27*$B$7+$C27*$C$7)/100</f>
        <v>0.0075</v>
      </c>
      <c r="G27" s="207" t="str">
        <f aca="false">IF(A27="","",IF(ISERROR(VLOOKUP($A27,,13,0)),IF(ISERROR(VLOOKUP($A27,,12,0)),"    -",VLOOKUP($A27,,12,0)),VLOOKUP($A27,,13,0)))</f>
        <v>-</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1</v>
      </c>
      <c r="W27" s="217"/>
      <c r="Y27" s="215" t="str">
        <f aca="false">IF(A27="new.cod","NEWCOD",IF(AND((Z27=""),ISTEXT(A27)),A27,IF(Z27="","",INDEX(,Z27))))</f>
        <v>LEMMIN</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c r="C28" s="203" t="n">
        <v>0.05</v>
      </c>
      <c r="D28" s="204" t="str">
        <f aca="false">IF(ISERROR(VLOOKUP($A28,,2,0)),IF(ISERROR(VLOOKUP($A28,,1,0)),"",VLOOKUP($A28,,1,0)),VLOOKUP($A28,,2,0))</f>
        <v/>
      </c>
      <c r="E28" s="205" t="n">
        <f aca="false">IF(D28="",0,VLOOKUP(D28,D$22:D27,1,0))</f>
        <v>0</v>
      </c>
      <c r="F28" s="206" t="n">
        <f aca="false">($B28*$B$7+$C28*$C$7)/100</f>
        <v>0.0075</v>
      </c>
      <c r="G28" s="207" t="str">
        <f aca="false">IF(A28="","",IF(ISERROR(VLOOKUP($A28,,13,0)),IF(ISERROR(VLOOKUP($A28,,12,0)),"    -",VLOOKUP($A28,,12,0)),VLOOKUP($A28,,13,0)))</f>
        <v>-</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3</v>
      </c>
      <c r="W28" s="217"/>
      <c r="Y28" s="215" t="str">
        <f aca="false">IF(A28="new.cod","NEWCOD",IF(AND((Z28=""),ISTEXT(A28)),A28,IF(Z28="","",INDEX(,Z28))))</f>
        <v>POTNOD</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0.15</v>
      </c>
      <c r="C29" s="203"/>
      <c r="D29" s="204" t="str">
        <f aca="false">IF(ISERROR(VLOOKUP($A29,,2,0)),IF(ISERROR(VLOOKUP($A29,,1,0)),"",VLOOKUP($A29,,1,0)),VLOOKUP($A29,,2,0))</f>
        <v/>
      </c>
      <c r="E29" s="205" t="n">
        <f aca="false">IF(D29="",0,VLOOKUP(D29,D$22:D28,1,0))</f>
        <v>0</v>
      </c>
      <c r="F29" s="206" t="n">
        <f aca="false">($B29*$B$7+$C29*$C$7)/100</f>
        <v>0.1275</v>
      </c>
      <c r="G29" s="207" t="str">
        <f aca="false">IF(A29="","",IF(ISERROR(VLOOKUP($A29,,13,0)),IF(ISERROR(VLOOKUP($A29,,12,0)),"    -",VLOOKUP($A29,,12,0)),VLOOKUP($A29,,13,0)))</f>
        <v>-</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4</v>
      </c>
      <c r="W29" s="217"/>
      <c r="Y29" s="215" t="str">
        <f aca="false">IF(A29="new.cod","NEWCOD",IF(AND((Z29=""),ISTEXT(A29)),A29,IF(Z29="","",INDEX(,Z29))))</f>
        <v>RANFLU</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c r="C30" s="203" t="n">
        <v>0.05</v>
      </c>
      <c r="D30" s="204" t="str">
        <f aca="false">IF(ISERROR(VLOOKUP($A30,,2,0)),IF(ISERROR(VLOOKUP($A30,,1,0)),"",VLOOKUP($A30,,1,0)),VLOOKUP($A30,,2,0))</f>
        <v/>
      </c>
      <c r="E30" s="205" t="n">
        <f aca="false">IF(D30="",0,VLOOKUP(D30,D$22:D29,1,0))</f>
        <v>0</v>
      </c>
      <c r="F30" s="206" t="n">
        <f aca="false">($B30*$B$7+$C30*$C$7)/100</f>
        <v>0.0075</v>
      </c>
      <c r="G30" s="207" t="str">
        <f aca="false">IF(A30="","",IF(ISERROR(VLOOKUP($A30,,13,0)),IF(ISERROR(VLOOKUP($A30,,12,0)),"    -",VLOOKUP($A30,,12,0)),VLOOKUP($A30,,13,0)))</f>
        <v>-</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2</v>
      </c>
      <c r="W30" s="217"/>
      <c r="Y30" s="215" t="str">
        <f aca="false">IF(A30="new.cod","NEWCOD",IF(AND((Z30=""),ISTEXT(A30)),A30,IF(Z30="","",INDEX(,Z30))))</f>
        <v>SPRPOL</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c r="C31" s="203" t="n">
        <v>0.02</v>
      </c>
      <c r="D31" s="204" t="str">
        <f aca="false">IF(ISERROR(VLOOKUP($A31,,2,0)),IF(ISERROR(VLOOKUP($A31,,1,0)),"",VLOOKUP($A31,,1,0)),VLOOKUP($A31,,2,0))</f>
        <v/>
      </c>
      <c r="E31" s="205" t="n">
        <f aca="false">IF(D31="",0,VLOOKUP(D31,D$22:D30,1,0))</f>
        <v>0</v>
      </c>
      <c r="F31" s="206" t="n">
        <f aca="false">($B31*$B$7+$C31*$C$7)/100</f>
        <v>0.003</v>
      </c>
      <c r="G31" s="207" t="str">
        <f aca="false">IF(A31="","",IF(ISERROR(VLOOKUP($A31,,13,0)),IF(ISERROR(VLOOKUP($A31,,12,0)),"    -",VLOOKUP($A31,,12,0)),VLOOKUP($A31,,13,0)))</f>
        <v>-</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1</v>
      </c>
      <c r="W31" s="217"/>
      <c r="Y31" s="215" t="str">
        <f aca="false">IF(A31="new.cod","NEWCOD",IF(AND((Z31=""),ISTEXT(A31)),A31,IF(Z31="","",INDEX(,Z31))))</f>
        <v>AGRSTO</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c r="C32" s="203" t="n">
        <v>0.02</v>
      </c>
      <c r="D32" s="204" t="str">
        <f aca="false">IF(ISERROR(VLOOKUP($A32,,2,0)),IF(ISERROR(VLOOKUP($A32,,1,0)),"",VLOOKUP($A32,,1,0)),VLOOKUP($A32,,2,0))</f>
        <v/>
      </c>
      <c r="E32" s="205" t="n">
        <f aca="false">IF(D32="",0,VLOOKUP(D32,D$22:D31,1,0))</f>
        <v>0</v>
      </c>
      <c r="F32" s="206" t="n">
        <f aca="false">($B32*$B$7+$C32*$C$7)/100</f>
        <v>0.003</v>
      </c>
      <c r="G32" s="207" t="str">
        <f aca="false">IF(A32="","",IF(ISERROR(VLOOKUP($A32,,13,0)),IF(ISERROR(VLOOKUP($A32,,12,0)),"    -",VLOOKUP($A32,,12,0)),VLOOKUP($A32,,13,0)))</f>
        <v>-</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21"/>
      <c r="Y32" s="215" t="str">
        <f aca="false">IF(A32="new.cod","NEWCOD",IF(AND((Z32=""),ISTEXT(A32)),A32,IF(Z32="","",INDEX(,Z32))))</f>
        <v>CARSPX</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t="n">
        <v>0.01</v>
      </c>
      <c r="C33" s="203" t="n">
        <v>5</v>
      </c>
      <c r="D33" s="204" t="str">
        <f aca="false">IF(ISERROR(VLOOKUP($A33,,2,0)),IF(ISERROR(VLOOKUP($A33,,1,0)),"",VLOOKUP($A33,,1,0)),VLOOKUP($A33,,2,0))</f>
        <v/>
      </c>
      <c r="E33" s="205" t="n">
        <f aca="false">IF(D33="",0,VLOOKUP(D33,D$22:D32,1,0))</f>
        <v>0</v>
      </c>
      <c r="F33" s="206" t="n">
        <f aca="false">($B33*$B$7+$C33*$C$7)/100</f>
        <v>0.7585</v>
      </c>
      <c r="G33" s="207" t="str">
        <f aca="false">IF(A33="","",IF(ISERROR(VLOOKUP($A33,,13,0)),IF(ISERROR(VLOOKUP($A33,,12,0)),"    -",VLOOKUP($A33,,12,0)),VLOOKUP($A33,,13,0)))</f>
        <v>-</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LUDPEP</v>
      </c>
      <c r="Z33" s="9" t="str">
        <f aca="false">IF(ISERROR(MATCH(A33,,0)),IF(ISERROR(MATCH(A33,,0)),"",(MATCH(A33,,0))),(MATCH(A33,,0)))</f>
        <v/>
      </c>
      <c r="AA33" s="218"/>
      <c r="AB33" s="219"/>
      <c r="AC33" s="219"/>
      <c r="BC33" s="9" t="n">
        <f aca="false">IF(A33="","",1)</f>
        <v>1</v>
      </c>
    </row>
    <row r="34" customFormat="false" ht="12.75" hidden="false" customHeight="false" outlineLevel="0" collapsed="false">
      <c r="A34" s="201" t="s">
        <v>89</v>
      </c>
      <c r="B34" s="202" t="n">
        <v>0.01</v>
      </c>
      <c r="C34" s="203"/>
      <c r="D34" s="204" t="str">
        <f aca="false">IF(ISERROR(VLOOKUP($A34,,2,0)),IF(ISERROR(VLOOKUP($A34,,1,0)),"",VLOOKUP($A34,,1,0)),VLOOKUP($A34,,2,0))</f>
        <v/>
      </c>
      <c r="E34" s="205" t="n">
        <f aca="false">IF(D34="",0,VLOOKUP(D34,D$22:D33,1,0))</f>
        <v>0</v>
      </c>
      <c r="F34" s="206" t="n">
        <f aca="false">($B34*$B$7+$C34*$C$7)/100</f>
        <v>0.0085</v>
      </c>
      <c r="G34" s="207" t="str">
        <f aca="false">IF(A34="","",IF(ISERROR(VLOOKUP($A34,,13,0)),IF(ISERROR(VLOOKUP($A34,,12,0)),"    -",VLOOKUP($A34,,12,0)),VLOOKUP($A34,,13,0)))</f>
        <v>-</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LYTSAL</v>
      </c>
      <c r="Z34" s="9" t="str">
        <f aca="false">IF(ISERROR(MATCH(A34,,0)),IF(ISERROR(MATCH(A34,,0)),"",(MATCH(A34,,0))),(MATCH(A34,,0)))</f>
        <v/>
      </c>
      <c r="AA34" s="218"/>
      <c r="AB34" s="219"/>
      <c r="AC34" s="219"/>
      <c r="BC34" s="9" t="n">
        <f aca="false">IF(A34="","",1)</f>
        <v>1</v>
      </c>
    </row>
    <row r="35" customFormat="false" ht="12.75" hidden="false" customHeight="false" outlineLevel="0" collapsed="false">
      <c r="A35" s="201" t="s">
        <v>90</v>
      </c>
      <c r="B35" s="202"/>
      <c r="C35" s="203" t="n">
        <v>0.5</v>
      </c>
      <c r="D35" s="204" t="str">
        <f aca="false">IF(ISERROR(VLOOKUP($A35,,2,0)),IF(ISERROR(VLOOKUP($A35,,1,0)),"",VLOOKUP($A35,,1,0)),VLOOKUP($A35,,2,0))</f>
        <v/>
      </c>
      <c r="E35" s="205" t="n">
        <f aca="false">IF(D35="",0,VLOOKUP(D35,D$22:D34,1,0))</f>
        <v>0</v>
      </c>
      <c r="F35" s="206" t="n">
        <f aca="false">($B35*$B$7+$C35*$C$7)/100</f>
        <v>0.075</v>
      </c>
      <c r="G35" s="207" t="str">
        <f aca="false">IF(A35="","",IF(ISERROR(VLOOKUP($A35,,13,0)),IF(ISERROR(VLOOKUP($A35,,12,0)),"    -",VLOOKUP($A35,,12,0)),VLOOKUP($A35,,13,0)))</f>
        <v>-</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1</v>
      </c>
      <c r="W35" s="217"/>
      <c r="Y35" s="215" t="str">
        <f aca="false">IF(A35="new.cod","NEWCOD",IF(AND((Z35=""),ISTEXT(A35)),A35,IF(Z35="","",INDEX(,Z35))))</f>
        <v>PHAARU</v>
      </c>
      <c r="Z35" s="9" t="str">
        <f aca="false">IF(ISERROR(MATCH(A35,,0)),IF(ISERROR(MATCH(A35,,0)),"",(MATCH(A35,,0))),(MATCH(A35,,0)))</f>
        <v/>
      </c>
      <c r="AA35" s="218"/>
      <c r="AB35" s="219"/>
      <c r="AC35" s="219"/>
      <c r="BC35" s="9" t="n">
        <f aca="false">IF(A35="","",1)</f>
        <v>1</v>
      </c>
    </row>
    <row r="36" customFormat="false" ht="12.75" hidden="false" customHeight="false" outlineLevel="0" collapsed="false">
      <c r="A36" s="201" t="s">
        <v>91</v>
      </c>
      <c r="B36" s="202"/>
      <c r="C36" s="203" t="n">
        <v>0.02</v>
      </c>
      <c r="D36" s="204" t="str">
        <f aca="false">IF(ISERROR(VLOOKUP($A36,,2,0)),IF(ISERROR(VLOOKUP($A36,,1,0)),"",VLOOKUP($A36,,1,0)),VLOOKUP($A36,,2,0))</f>
        <v/>
      </c>
      <c r="E36" s="205" t="n">
        <f aca="false">IF(D36="",0,VLOOKUP(D36,D$22:D35,1,0))</f>
        <v>0</v>
      </c>
      <c r="F36" s="206" t="n">
        <f aca="false">($B36*$B$7+$C36*$C$7)/100</f>
        <v>0.003</v>
      </c>
      <c r="G36" s="207" t="str">
        <f aca="false">IF(A36="","",IF(ISERROR(VLOOKUP($A36,,13,0)),IF(ISERROR(VLOOKUP($A36,,12,0)),"    -",VLOOKUP($A36,,12,0)),VLOOKUP($A36,,13,0)))</f>
        <v>-</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code non répertorié ou synonyme</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1</v>
      </c>
      <c r="W36" s="217"/>
      <c r="Y36" s="215" t="str">
        <f aca="false">IF(A36="new.cod","NEWCOD",IF(AND((Z36=""),ISTEXT(A36)),A36,IF(Z36="","",INDEX(,Z36))))</f>
        <v>RORAMP</v>
      </c>
      <c r="Z36" s="9" t="str">
        <f aca="false">IF(ISERROR(MATCH(A36,,0)),IF(ISERROR(MATCH(A36,,0)),"",(MATCH(A36,,0))),(MATCH(A36,,0)))</f>
        <v/>
      </c>
      <c r="AA36" s="218"/>
      <c r="AB36" s="219"/>
      <c r="AC36" s="219"/>
      <c r="BC36" s="9" t="n">
        <f aca="false">IF(A36="","",1)</f>
        <v>1</v>
      </c>
    </row>
    <row r="37" customFormat="false" ht="12.75" hidden="false" customHeight="false" outlineLevel="0" collapsed="false">
      <c r="A37" s="201" t="s">
        <v>92</v>
      </c>
      <c r="B37" s="202"/>
      <c r="C37" s="203" t="n">
        <v>0.01</v>
      </c>
      <c r="D37" s="204" t="str">
        <f aca="false">IF(ISERROR(VLOOKUP($A37,,2,0)),IF(ISERROR(VLOOKUP($A37,,1,0)),"",VLOOKUP($A37,,1,0)),VLOOKUP($A37,,2,0))</f>
        <v/>
      </c>
      <c r="E37" s="205" t="n">
        <f aca="false">IF(D37="",0,VLOOKUP(D37,D$22:D36,1,0))</f>
        <v>0</v>
      </c>
      <c r="F37" s="206" t="n">
        <f aca="false">($B37*$B$7+$C37*$C$7)/100</f>
        <v>0.0015</v>
      </c>
      <c r="G37" s="207" t="str">
        <f aca="false">IF(A37="","",IF(ISERROR(VLOOKUP($A37,,13,0)),IF(ISERROR(VLOOKUP($A37,,12,0)),"    -",VLOOKUP($A37,,12,0)),VLOOKUP($A37,,13,0)))</f>
        <v>-</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code non répertorié ou synonyme</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1</v>
      </c>
      <c r="W37" s="217"/>
      <c r="Y37" s="215" t="str">
        <f aca="false">IF(A37="new.cod","NEWCOD",IF(AND((Z37=""),ISTEXT(A37)),A37,IF(Z37="","",INDEX(,Z37))))</f>
        <v>SPAERE</v>
      </c>
      <c r="Z37" s="9" t="str">
        <f aca="false">IF(ISERROR(MATCH(A37,,0)),IF(ISERROR(MATCH(A37,,0)),"",(MATCH(A37,,0))),(MATCH(A37,,0)))</f>
        <v/>
      </c>
      <c r="AA37" s="218"/>
      <c r="AB37" s="219"/>
      <c r="AC37" s="219"/>
      <c r="BC37" s="9" t="n">
        <f aca="false">IF(A37="","",1)</f>
        <v>1</v>
      </c>
    </row>
    <row r="38" customFormat="false" ht="12.75" hidden="false" customHeight="false" outlineLevel="0" collapsed="false">
      <c r="A38" s="201" t="s">
        <v>93</v>
      </c>
      <c r="B38" s="202"/>
      <c r="C38" s="203" t="n">
        <v>0.01</v>
      </c>
      <c r="D38" s="204" t="str">
        <f aca="false">IF(ISERROR(VLOOKUP($A38,,2,0)),IF(ISERROR(VLOOKUP($A38,,1,0)),"",VLOOKUP($A38,,1,0)),VLOOKUP($A38,,2,0))</f>
        <v/>
      </c>
      <c r="E38" s="205" t="n">
        <f aca="false">IF(D38="",0,VLOOKUP(D38,D$22:D37,1,0))</f>
        <v>0</v>
      </c>
      <c r="F38" s="206" t="n">
        <f aca="false">($B38*$B$7+$C38*$C$7)/100</f>
        <v>0.0015</v>
      </c>
      <c r="G38" s="207" t="str">
        <f aca="false">IF(A38="","",IF(ISERROR(VLOOKUP($A38,,13,0)),IF(ISERROR(VLOOKUP($A38,,12,0)),"    -",VLOOKUP($A38,,12,0)),VLOOKUP($A38,,13,0)))</f>
        <v>-</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code non répertorié ou synonyme</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RUBSPX</v>
      </c>
      <c r="Z38" s="9" t="str">
        <f aca="false">IF(ISERROR(MATCH(A38,,0)),IF(ISERROR(MATCH(A38,,0)),"",(MATCH(A38,,0))),(MATCH(A38,,0)))</f>
        <v/>
      </c>
      <c r="AA38" s="218"/>
      <c r="AB38" s="219"/>
      <c r="AC38" s="219"/>
      <c r="BC38" s="9" t="n">
        <f aca="false">IF(A38="","",1)</f>
        <v>1</v>
      </c>
    </row>
    <row r="39" customFormat="false" ht="12.75" hidden="false" customHeight="false" outlineLevel="0" collapsed="false">
      <c r="A39" s="201" t="s">
        <v>94</v>
      </c>
      <c r="B39" s="202" t="n">
        <v>0.15</v>
      </c>
      <c r="C39" s="203" t="n">
        <v>0.5</v>
      </c>
      <c r="D39" s="204" t="str">
        <f aca="false">IF(ISERROR(VLOOKUP($A39,,2,0)),IF(ISERROR(VLOOKUP($A39,,1,0)),"",VLOOKUP($A39,,1,0)),VLOOKUP($A39,,2,0))</f>
        <v/>
      </c>
      <c r="E39" s="205" t="n">
        <f aca="false">IF(D39="",0,VLOOKUP(D39,D$22:D38,1,0))</f>
        <v>0</v>
      </c>
      <c r="F39" s="206" t="n">
        <f aca="false">($B39*$B$7+$C39*$C$7)/100</f>
        <v>0.2025</v>
      </c>
      <c r="G39" s="207" t="str">
        <f aca="false">IF(A39="","",IF(ISERROR(VLOOKUP($A39,,13,0)),IF(ISERROR(VLOOKUP($A39,,12,0)),"    -",VLOOKUP($A39,,12,0)),VLOOKUP($A39,,13,0)))</f>
        <v>-</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code non répertorié ou synonyme</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SALSPX</v>
      </c>
      <c r="Z39" s="9" t="str">
        <f aca="false">IF(ISERROR(MATCH(A39,,0)),IF(ISERROR(MATCH(A39,,0)),"",(MATCH(A39,,0))),(MATCH(A39,,0)))</f>
        <v/>
      </c>
      <c r="AA39" s="218"/>
      <c r="AB39" s="219"/>
      <c r="AC39" s="219"/>
      <c r="BC39" s="9" t="n">
        <f aca="false">IF(A39="","",1)</f>
        <v>1</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IF(D42="",0,VLOOKUP(D42,D$22:D35,1,0))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IF(D43="",0,VLOOKUP(D43,D$22:D35,1,0))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IF(D44="",0,VLOOKUP(D44,D$22:D36,1,0))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IF(D45="",0,VLOOKUP(D45,D$22:D44,1,0))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IF(D53="",0,VLOOKUP(D53,D$21:D52,1,0))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X53" s="222"/>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23"/>
      <c r="M55" s="223"/>
      <c r="N55" s="223"/>
      <c r="O55" s="224"/>
      <c r="P55" s="224"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23"/>
      <c r="M56" s="223"/>
      <c r="N56" s="223"/>
      <c r="O56" s="224"/>
      <c r="P56" s="224"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X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95</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ALLIER</v>
      </c>
      <c r="B84" s="243" t="str">
        <f aca="false">C3</f>
        <v>CHATEL DE NEUVRE</v>
      </c>
      <c r="C84" s="244" t="n">
        <f aca="false">A4</f>
        <v>41101</v>
      </c>
      <c r="D84" s="245" t="str">
        <f aca="false">IF(ISERROR(SUM($T$23:$T$82)/SUM($U$23:$U$82)),"",SUM($T$23:$T$82)/SUM($U$23:$U$82))</f>
        <v/>
      </c>
      <c r="E84" s="246" t="n">
        <f aca="false">N13</f>
        <v>17</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1.2125</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96</v>
      </c>
      <c r="R86" s="9"/>
      <c r="S86" s="216"/>
      <c r="T86" s="9"/>
      <c r="U86" s="9"/>
      <c r="V86" s="9"/>
    </row>
    <row r="87" customFormat="false" ht="12.75" hidden="true" customHeight="false" outlineLevel="0" collapsed="false">
      <c r="P87" s="9"/>
      <c r="Q87" s="9" t="s">
        <v>97</v>
      </c>
      <c r="R87" s="9"/>
      <c r="S87" s="216" t="n">
        <f aca="false">VLOOKUP(MAX($S$23:$S$82),($S$23:$U$82),1,0)</f>
        <v>0</v>
      </c>
      <c r="T87" s="9"/>
      <c r="U87" s="9"/>
      <c r="V87" s="9"/>
    </row>
    <row r="88" customFormat="false" ht="12.75" hidden="true" customHeight="false" outlineLevel="0" collapsed="false">
      <c r="P88" s="9"/>
      <c r="Q88" s="9" t="s">
        <v>98</v>
      </c>
      <c r="R88" s="9"/>
      <c r="S88" s="216" t="n">
        <f aca="false">VLOOKUP((S87),($S$23:$U$82),2,0)</f>
        <v>0</v>
      </c>
      <c r="T88" s="9"/>
      <c r="U88" s="9"/>
      <c r="V88" s="9"/>
    </row>
    <row r="89" customFormat="false" ht="12.75" hidden="false" customHeight="false" outlineLevel="0" collapsed="false">
      <c r="Q89" s="9" t="s">
        <v>99</v>
      </c>
      <c r="R89" s="9"/>
      <c r="S89" s="216" t="n">
        <f aca="false">VLOOKUP((S87),($S$23:$U$82),3,0)</f>
        <v>0</v>
      </c>
      <c r="T89" s="9"/>
    </row>
    <row r="90" customFormat="false" ht="12.75" hidden="false" customHeight="false" outlineLevel="0" collapsed="false">
      <c r="Q90" s="9" t="s">
        <v>100</v>
      </c>
      <c r="R90" s="9"/>
      <c r="S90" s="252" t="str">
        <f aca="false">IF(ISERROR(SUM($T$23:$T$82)/SUM($U$23:$U$82)),"",(SUM($T$23:$T$82)-S88)/(SUM($U$23:$U$82)-S89))</f>
        <v/>
      </c>
      <c r="T90" s="9"/>
    </row>
    <row r="91" customFormat="false" ht="12.75" hidden="false" customHeight="false" outlineLevel="0" collapsed="false">
      <c r="Q91" s="215" t="s">
        <v>101</v>
      </c>
      <c r="R91" s="215"/>
      <c r="S91" s="215" t="e">
        <f aca="false">INDEX(,$T$91)</f>
        <v>#VALUE!</v>
      </c>
      <c r="T91" s="9" t="e">
        <f aca="false">IF(ISERROR(MATCH($S$93,,0)),MATCH($S$93,,0),(MATCH($S$93,,0)))</f>
        <v>#VALUE!</v>
      </c>
      <c r="U91" s="241"/>
    </row>
    <row r="92" customFormat="false" ht="12.75" hidden="false" customHeight="false" outlineLevel="0" collapsed="false">
      <c r="Q92" s="9" t="s">
        <v>102</v>
      </c>
      <c r="R92" s="9"/>
      <c r="S92" s="9" t="n">
        <f aca="false">MATCH(S87,$S$23:$S$82,0)</f>
        <v>1</v>
      </c>
      <c r="T92" s="9"/>
    </row>
    <row r="93" customFormat="false" ht="12.75" hidden="false" customHeight="false" outlineLevel="0" collapsed="false">
      <c r="Q93" s="215" t="s">
        <v>103</v>
      </c>
      <c r="R93" s="9"/>
      <c r="S93" s="215" t="str">
        <f aca="false">INDEX($A$23:$A$82,$S$92)</f>
        <v>CLASPX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40: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2024-03-14T21:45:12Z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