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20001" sheetId="1" state="visible" r:id="rId3"/>
  </sheets>
  <definedNames>
    <definedName function="false" hidden="false" localSheetId="0" name="_xlnm.Print_Area" vbProcedure="false">'04420001'!$A$1:$Q$82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<sst xmlns="http://schemas.openxmlformats.org/spreadsheetml/2006/main" count="170" uniqueCount="104">
  <si>
    <t xml:space="preserve">Relevés floristiques aquatiques - IBMR</t>
  </si>
  <si>
    <t xml:space="preserve">AQUABIO</t>
  </si>
  <si>
    <t xml:space="preserve">Jérôme CHAUMONT, Laetitia BLANCHARD</t>
  </si>
  <si>
    <t xml:space="preserve">ruisseau de la combe</t>
  </si>
  <si>
    <t xml:space="preserve">LA RIBEYRE A LESPERON</t>
  </si>
  <si>
    <t xml:space="preserve">04420001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</si>
  <si>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</si>
  <si>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</si>
  <si>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</si>
  <si>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</si>
  <si>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</si>
  <si>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</si>
  <si>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</si>
  <si>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</si>
  <si>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</si>
  <si>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CHIPOL</t>
  </si>
  <si>
    <t xml:space="preserve">Faciès dominant</t>
  </si>
  <si>
    <t xml:space="preserve">autre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</si>
  <si>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</si>
  <si>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</si>
  <si>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</si>
  <si>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</si>
  <si>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</si>
  <si>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</si>
  <si>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</si>
  <si>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</si>
  <si>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</si>
  <si>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</si>
  <si>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</si>
  <si>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</si>
  <si>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</si>
  <si>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</si>
  <si>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</si>
  <si>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</si>
  <si>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</si>
  <si>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</si>
  <si>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</si>
  <si>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</si>
  <si>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</si>
  <si>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</si>
  <si>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</si>
  <si>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</si>
  <si>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</si>
  <si>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</si>
  <si>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</si>
  <si>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</si>
  <si>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</si>
  <si>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</si>
  <si>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</si>
  <si>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</si>
  <si>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</si>
  <si>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</si>
  <si>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</si>
  <si>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</si>
  <si>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</si>
  <si>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</si>
  <si>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</si>
  <si>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</si>
  <si>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</si>
  <si>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</si>
  <si>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</si>
  <si>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</si>
  <si>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</si>
  <si>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</si>
  <si>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</si>
  <si>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</si>
  <si>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</si>
  <si>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</si>
  <si>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</si>
  <si>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</si>
  <si>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</si>
  <si>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</si>
  <si>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</si>
  <si>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</si>
  <si>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</si>
  <si>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</si>
  <si>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NOSSPX</t>
  </si>
  <si>
    <t xml:space="preserve"> -</t>
  </si>
  <si>
    <t xml:space="preserve">FONANT</t>
  </si>
  <si>
    <t xml:space="preserve">PHAARU</t>
  </si>
  <si>
    <t xml:space="preserve">SPAERE</t>
  </si>
  <si>
    <t xml:space="preserve">ULOSPX</t>
  </si>
  <si>
    <t xml:space="preserve">VERBEC</t>
  </si>
  <si>
    <t xml:space="preserve">RHYRIP</t>
  </si>
  <si>
    <t xml:space="preserve">PHOSPX</t>
  </si>
  <si>
    <t xml:space="preserve">STISPX</t>
  </si>
  <si>
    <t xml:space="preserve">GLYFLU</t>
  </si>
  <si>
    <t xml:space="preserve">BRARIV</t>
  </si>
  <si>
    <t xml:space="preserve">CRAFIL</t>
  </si>
  <si>
    <t xml:space="preserve">MACPOL</t>
  </si>
  <si>
    <t xml:space="preserve">MENLON</t>
  </si>
  <si>
    <t xml:space="preserve">PHASPX</t>
  </si>
  <si>
    <t xml:space="preserve">POATRI</t>
  </si>
  <si>
    <t xml:space="preserve">RANREP</t>
  </si>
  <si>
    <t xml:space="preserve">NEWCOD</t>
  </si>
  <si>
    <t xml:space="preserve">Erythranthe sp.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</si>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</sst>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42535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13.2333333333333</v>
      </c>
      <c r="N5" s="48"/>
      <c r="O5" s="49" t="s">
        <v>15</v>
      </c>
      <c r="P5" s="50" t="n">
        <v>12.9615384615385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17</v>
      </c>
      <c r="D6" s="54"/>
      <c r="E6" s="54"/>
      <c r="F6" s="55"/>
      <c r="G6" s="43"/>
      <c r="H6" s="41"/>
      <c r="I6" s="6"/>
      <c r="J6" s="56"/>
      <c r="K6" s="57"/>
      <c r="L6" s="58" t="s">
        <v>18</v>
      </c>
      <c r="M6" s="59" t="s">
        <v>19</v>
      </c>
      <c r="N6" s="60"/>
      <c r="O6" s="61" t="n">
        <v>3</v>
      </c>
      <c r="P6" s="62" t="s">
        <v>19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20</v>
      </c>
      <c r="B7" s="65" t="n">
        <v>49</v>
      </c>
      <c r="C7" s="66" t="n">
        <v>51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21</v>
      </c>
      <c r="P7" s="75" t="s">
        <v>22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23</v>
      </c>
      <c r="B8" s="40"/>
      <c r="C8" s="40"/>
      <c r="D8" s="54"/>
      <c r="E8" s="54"/>
      <c r="F8" s="77" t="s">
        <v>24</v>
      </c>
      <c r="G8" s="78"/>
      <c r="H8" s="54"/>
      <c r="I8" s="6"/>
      <c r="J8" s="69"/>
      <c r="K8" s="70"/>
      <c r="L8" s="71"/>
      <c r="M8" s="72"/>
      <c r="N8" s="79" t="s">
        <v>25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26</v>
      </c>
      <c r="B9" s="65" t="n">
        <v>5</v>
      </c>
      <c r="C9" s="66" t="n">
        <v>3.5</v>
      </c>
      <c r="D9" s="82"/>
      <c r="E9" s="82"/>
      <c r="F9" s="83" t="n">
        <f aca="false">($B9*$B$7+$C9*$C$7)/100</f>
        <v>4.235</v>
      </c>
      <c r="G9" s="84"/>
      <c r="H9" s="41"/>
      <c r="I9" s="6"/>
      <c r="J9" s="85"/>
      <c r="K9" s="86"/>
      <c r="L9" s="71"/>
      <c r="M9" s="87"/>
      <c r="N9" s="79" t="s">
        <v>27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28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29</v>
      </c>
      <c r="L10" s="92"/>
      <c r="M10" s="93"/>
      <c r="N10" s="79" t="s">
        <v>30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31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32</v>
      </c>
      <c r="K11" s="101"/>
      <c r="L11" s="102" t="n">
        <f aca="false">COUNTIF($G$23:$G$82,"=HET")</f>
        <v>0</v>
      </c>
      <c r="M11" s="103"/>
      <c r="N11" s="79" t="s">
        <v>33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34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35</v>
      </c>
      <c r="K12" s="101"/>
      <c r="L12" s="102" t="n">
        <f aca="false">COUNTIF($G$23:$G$82,"=ALG")</f>
        <v>0</v>
      </c>
      <c r="M12" s="103"/>
      <c r="N12" s="107"/>
      <c r="O12" s="108" t="s">
        <v>29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36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37</v>
      </c>
      <c r="K13" s="101"/>
      <c r="L13" s="102" t="n">
        <f aca="false">COUNTIF($G$23:$G$82,"=BRm")+COUNTIF($G$23:$G$82,"=BRh")</f>
        <v>0</v>
      </c>
      <c r="M13" s="103"/>
      <c r="N13" s="111" t="s">
        <v>38</v>
      </c>
      <c r="O13" s="112" t="n">
        <f aca="false">COUNTIF(F23:F82,"&gt;0")</f>
        <v>19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39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40</v>
      </c>
      <c r="K14" s="101"/>
      <c r="L14" s="102" t="n">
        <f aca="false">COUNTIF($G$23:$G$82,"=PTE")+COUNTIF($G$23:$G$82,"=LIC")</f>
        <v>0</v>
      </c>
      <c r="M14" s="103"/>
      <c r="N14" s="114" t="s">
        <v>41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42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43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44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45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46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47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48</v>
      </c>
      <c r="M17" s="129" t="n">
        <f aca="false">IF(ISERROR((O13-(COUNTIF(J23:J82,"nc")))/O13),"-",(O13-(COUNTIF(J23:J82,"nc")))/O13)</f>
        <v>1</v>
      </c>
      <c r="N17" s="111" t="s">
        <v>49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50</v>
      </c>
      <c r="B18" s="132"/>
      <c r="C18" s="133"/>
      <c r="D18" s="82"/>
      <c r="E18" s="134" t="s">
        <v>51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52</v>
      </c>
      <c r="B20" s="154" t="n">
        <f aca="false">SUM(B23:B82)</f>
        <v>3.41285710223019</v>
      </c>
      <c r="C20" s="155" t="n">
        <f aca="false">SUM(C23:C82)</f>
        <v>4.66999999992549</v>
      </c>
      <c r="D20" s="156"/>
      <c r="E20" s="157" t="s">
        <v>51</v>
      </c>
      <c r="F20" s="158" t="n">
        <f aca="false">($B20*$B$7+$C20*$C$7)/100</f>
        <v>4.0539999800548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53</v>
      </c>
      <c r="B21" s="166" t="n">
        <f aca="false">B20*B7/100</f>
        <v>1.67229998009279</v>
      </c>
      <c r="C21" s="166" t="n">
        <f aca="false">C20*C7/100</f>
        <v>2.381699999962</v>
      </c>
      <c r="D21" s="167" t="s">
        <v>54</v>
      </c>
      <c r="E21" s="168"/>
      <c r="F21" s="169" t="n">
        <f aca="false">B21+C21</f>
        <v>4.0539999800548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55</v>
      </c>
    </row>
    <row r="22" customFormat="false" ht="12.75" hidden="false" customHeight="false" outlineLevel="0" collapsed="false">
      <c r="A22" s="178" t="s">
        <v>56</v>
      </c>
      <c r="B22" s="179" t="s">
        <v>57</v>
      </c>
      <c r="C22" s="179" t="s">
        <v>57</v>
      </c>
      <c r="D22" s="180"/>
      <c r="E22" s="181"/>
      <c r="F22" s="182" t="s">
        <v>58</v>
      </c>
      <c r="G22" s="183" t="s">
        <v>59</v>
      </c>
      <c r="H22" s="82" t="s">
        <v>60</v>
      </c>
      <c r="I22" s="6" t="s">
        <v>61</v>
      </c>
      <c r="J22" s="184" t="s">
        <v>62</v>
      </c>
      <c r="K22" s="184" t="s">
        <v>63</v>
      </c>
      <c r="L22" s="185" t="s">
        <v>64</v>
      </c>
      <c r="M22" s="185"/>
      <c r="N22" s="185"/>
      <c r="O22" s="185"/>
      <c r="P22" s="177" t="s">
        <v>65</v>
      </c>
      <c r="Q22" s="186" t="s">
        <v>66</v>
      </c>
      <c r="R22" s="187" t="s">
        <v>67</v>
      </c>
      <c r="S22" s="188" t="s">
        <v>68</v>
      </c>
      <c r="T22" s="189" t="s">
        <v>69</v>
      </c>
      <c r="U22" s="189" t="s">
        <v>70</v>
      </c>
      <c r="V22" s="190" t="s">
        <v>71</v>
      </c>
      <c r="W22" s="191" t="s">
        <v>72</v>
      </c>
      <c r="X22" s="191" t="s">
        <v>73</v>
      </c>
      <c r="Y22" s="192" t="s">
        <v>74</v>
      </c>
      <c r="Z22" s="192" t="s">
        <v>75</v>
      </c>
    </row>
    <row r="23" customFormat="false" ht="12.75" hidden="false" customHeight="false" outlineLevel="0" collapsed="false">
      <c r="A23" s="193" t="s">
        <v>76</v>
      </c>
      <c r="B23" s="194" t="n">
        <v>0.100000001490116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0.0490000007301569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77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NOSSPX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78</v>
      </c>
      <c r="B24" s="211" t="n">
        <v>0.00999999977648258</v>
      </c>
      <c r="C24" s="212" t="n">
        <v>0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0.00489999989047647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77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FONANT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0.5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0.250099999886006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77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PHAARU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0.100000001490116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0.0490000007301569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77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SPAERE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81</v>
      </c>
      <c r="B27" s="211" t="n">
        <v>0.0199999995529652</v>
      </c>
      <c r="C27" s="212" t="n">
        <v>0.0199999995529652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0.0199999995529652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77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ULOSPX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82</v>
      </c>
      <c r="B28" s="211" t="n">
        <v>0.899999976158142</v>
      </c>
      <c r="C28" s="212" t="n">
        <v>0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0.44099998831749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77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VERBEC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83</v>
      </c>
      <c r="B29" s="211" t="n">
        <v>0.00999999977648258</v>
      </c>
      <c r="C29" s="212" t="n">
        <v>2.5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1.27989999989048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77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RHYRIP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84</v>
      </c>
      <c r="B30" s="211" t="n">
        <v>0.0128570999950171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0.00629997899755836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77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PHOSPX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85</v>
      </c>
      <c r="B31" s="211" t="n">
        <v>0.00999999977648258</v>
      </c>
      <c r="C31" s="212" t="n">
        <v>0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0.00489999989047647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77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STISPX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86</v>
      </c>
      <c r="B32" s="211" t="n">
        <v>1.10000002384186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0.544100011568516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77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GLYFLU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87</v>
      </c>
      <c r="B33" s="211" t="n">
        <v>0</v>
      </c>
      <c r="C33" s="212" t="n">
        <v>1.5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0.765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77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BRARIV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15</v>
      </c>
      <c r="B34" s="211" t="n">
        <v>0.00999999977648258</v>
      </c>
      <c r="C34" s="212" t="n">
        <v>0.5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0.259899999890476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77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CHIPOL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88</v>
      </c>
      <c r="B35" s="211" t="n">
        <v>0.00999999977648258</v>
      </c>
      <c r="C35" s="212" t="n">
        <v>0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0.00489999989047647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77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CRAFIL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89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0.00509999988600612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77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MACPOL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90</v>
      </c>
      <c r="B37" s="211" t="n">
        <v>0.00999999977648258</v>
      </c>
      <c r="C37" s="212" t="n">
        <v>0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0.00489999989047647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77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MENLON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91</v>
      </c>
      <c r="B38" s="211" t="n">
        <v>0.00999999977648258</v>
      </c>
      <c r="C38" s="212" t="n">
        <v>0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0.00489999989047647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77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PHASPX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92</v>
      </c>
      <c r="B39" s="211" t="n">
        <v>0.5</v>
      </c>
      <c r="C39" s="212" t="n">
        <v>0.100000001490116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0.296000000759959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77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POATRI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93</v>
      </c>
      <c r="B40" s="211" t="n">
        <v>0.00999999977648258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0.00999999977648258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77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RANREP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94</v>
      </c>
      <c r="B41" s="211" t="n">
        <v>0.100000001490116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0.054100000616163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Erythranthe sp.</v>
      </c>
      <c r="M41" s="219"/>
      <c r="N41" s="219"/>
      <c r="O41" s="219"/>
      <c r="P41" s="220" t="s">
        <v>77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>NoCod</v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 t="s">
        <v>95</v>
      </c>
      <c r="X41" s="224"/>
      <c r="Y41" s="207" t="str">
        <f aca="false">IF(AND(ISNUMBER(F41),OR(A41="",A41="!!!!!!")),"!!!!!!",IF(A41="new.cod","NEWCOD",IF(AND((Z41=""),ISTEXT(A41),A41&lt;&gt;"!!!!!!"),A41,IF(Z41="","",INDEX(,Z41)))))</f>
        <v>NEWCOD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77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77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77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77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77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77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77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77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77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77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77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77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77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77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77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77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77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77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77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77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77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77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77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77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77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77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77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77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77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77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77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77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77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77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77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77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77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77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77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77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77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4.0539999800548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ruisseau de la combe</v>
      </c>
      <c r="B84" s="175" t="str">
        <f aca="false">C3</f>
        <v>LA RIBEYRE A LESPERON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19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4.0539999800548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96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97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98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99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100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101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102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103</v>
      </c>
      <c r="S93" s="6"/>
      <c r="T93" s="207" t="str">
        <f aca="false">INDEX($A$23:$A$82,$T$92)</f>
        <v>NOSSPX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2024-04-24T21:53:34Z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