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20001" sheetId="1" state="visible" r:id="rId3"/>
  </sheets>
  <definedNames>
    <definedName function="false" hidden="false" localSheetId="0" name="_xlnm.Print_Area" vbProcedure="false">'04420001'!$A$1:$Q$82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<sst xmlns="http://schemas.openxmlformats.org/spreadsheetml/2006/main" count="181" uniqueCount="116">
  <si>
    <t xml:space="preserve">Relevés floristiques aquatiques - IBMR</t>
  </si>
  <si>
    <t xml:space="preserve">AQUABIO</t>
  </si>
  <si>
    <t xml:space="preserve">Christelle GISSET, Laetitia BLANCHARD</t>
  </si>
  <si>
    <t xml:space="preserve">ruisseau de la Ribeyre ou de la Combe</t>
  </si>
  <si>
    <t xml:space="preserve">LA RIBEYRE A LESPERON</t>
  </si>
  <si>
    <t xml:space="preserve">04420001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</si>
  <si>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</si>
  <si>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</si>
  <si>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</si>
  <si>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</si>
  <si>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</si>
  <si>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</si>
  <si>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</si>
  <si>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</si>
  <si>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</si>
  <si>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</si>
  <si>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</si>
  <si>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autre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</si>
  <si>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</si>
  <si>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</si>
  <si>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</si>
  <si>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</si>
  <si>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</si>
  <si>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</si>
  <si>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</si>
  <si>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</si>
  <si>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</si>
  <si>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</si>
  <si>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</si>
  <si>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</si>
  <si>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</si>
  <si>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</si>
  <si>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</si>
  <si>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</si>
  <si>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</si>
  <si>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</si>
  <si>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</si>
  <si>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</si>
  <si>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</si>
  <si>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</si>
  <si>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</si>
  <si>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</si>
  <si>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</si>
  <si>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</si>
  <si>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</si>
  <si>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</si>
  <si>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</si>
  <si>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</si>
  <si>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</si>
  <si>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</si>
  <si>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</si>
  <si>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</si>
  <si>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</si>
  <si>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</si>
  <si>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</si>
  <si>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</si>
  <si>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</si>
  <si>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</si>
  <si>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</si>
  <si>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</si>
  <si>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</si>
  <si>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</si>
  <si>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</si>
  <si>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</si>
  <si>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</si>
  <si>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</si>
  <si>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</si>
  <si>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</si>
  <si>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</si>
  <si>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</si>
  <si>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</si>
  <si>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</si>
  <si>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</si>
  <si>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</si>
  <si>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</si>
  <si>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</si>
  <si>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</si>
  <si>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</si>
  <si>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OEDSPX</t>
  </si>
  <si>
    <t xml:space="preserve">NOSSPX</t>
  </si>
  <si>
    <t xml:space="preserve">AGRSTO</t>
  </si>
  <si>
    <t xml:space="preserve">cf.</t>
  </si>
  <si>
    <t xml:space="preserve">FONANT</t>
  </si>
  <si>
    <t xml:space="preserve">IRIPSE</t>
  </si>
  <si>
    <t xml:space="preserve">MELSPX</t>
  </si>
  <si>
    <t xml:space="preserve">PHAARU</t>
  </si>
  <si>
    <t xml:space="preserve">SCISYL</t>
  </si>
  <si>
    <t xml:space="preserve">SPAERE</t>
  </si>
  <si>
    <t xml:space="preserve">ULOSPX</t>
  </si>
  <si>
    <t xml:space="preserve">VERBEC</t>
  </si>
  <si>
    <t xml:space="preserve">HYAFLU</t>
  </si>
  <si>
    <t xml:space="preserve">FISCRA</t>
  </si>
  <si>
    <t xml:space="preserve">RHYRIP</t>
  </si>
  <si>
    <t xml:space="preserve">AUDSPX</t>
  </si>
  <si>
    <t xml:space="preserve">PHOSPX</t>
  </si>
  <si>
    <t xml:space="preserve">GLYFLU</t>
  </si>
  <si>
    <t xml:space="preserve">BRARIV</t>
  </si>
  <si>
    <t xml:space="preserve">HILSPX</t>
  </si>
  <si>
    <t xml:space="preserve">SCAUND</t>
  </si>
  <si>
    <t xml:space="preserve">CRAFIL</t>
  </si>
  <si>
    <t xml:space="preserve">AJUREP</t>
  </si>
  <si>
    <t xml:space="preserve">CHHHIS</t>
  </si>
  <si>
    <t xml:space="preserve">EPITET</t>
  </si>
  <si>
    <t xml:space="preserve">MENLON</t>
  </si>
  <si>
    <t xml:space="preserve">PAASPX</t>
  </si>
  <si>
    <t xml:space="preserve">RANREP</t>
  </si>
  <si>
    <t xml:space="preserve">NEWCOD</t>
  </si>
  <si>
    <t xml:space="preserve">Erythranthe guttata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</si>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</sst>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42927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12.6511627906977</v>
      </c>
      <c r="N5" s="48"/>
      <c r="O5" s="49" t="s">
        <v>15</v>
      </c>
      <c r="P5" s="50" t="n">
        <v>12.4102564102564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17</v>
      </c>
      <c r="D6" s="54"/>
      <c r="E6" s="54"/>
      <c r="F6" s="55"/>
      <c r="G6" s="43"/>
      <c r="H6" s="41"/>
      <c r="I6" s="6"/>
      <c r="J6" s="56"/>
      <c r="K6" s="57"/>
      <c r="L6" s="58" t="s">
        <v>18</v>
      </c>
      <c r="M6" s="59" t="s">
        <v>19</v>
      </c>
      <c r="N6" s="60"/>
      <c r="O6" s="61" t="n">
        <v>2</v>
      </c>
      <c r="P6" s="62" t="s">
        <v>19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20</v>
      </c>
      <c r="B7" s="65" t="n">
        <v>44</v>
      </c>
      <c r="C7" s="66" t="n">
        <v>56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21</v>
      </c>
      <c r="P7" s="75" t="s">
        <v>22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23</v>
      </c>
      <c r="B8" s="40"/>
      <c r="C8" s="40"/>
      <c r="D8" s="54"/>
      <c r="E8" s="54"/>
      <c r="F8" s="77" t="s">
        <v>24</v>
      </c>
      <c r="G8" s="78"/>
      <c r="H8" s="54"/>
      <c r="I8" s="6"/>
      <c r="J8" s="69"/>
      <c r="K8" s="70"/>
      <c r="L8" s="71"/>
      <c r="M8" s="72"/>
      <c r="N8" s="79" t="s">
        <v>25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26</v>
      </c>
      <c r="B9" s="65" t="n">
        <v>8</v>
      </c>
      <c r="C9" s="66" t="n">
        <v>0.5</v>
      </c>
      <c r="D9" s="82"/>
      <c r="E9" s="82"/>
      <c r="F9" s="83" t="n">
        <f aca="false">($B9*$B$7+$C9*$C$7)/100</f>
        <v>3.8</v>
      </c>
      <c r="G9" s="84"/>
      <c r="H9" s="41"/>
      <c r="I9" s="6"/>
      <c r="J9" s="85"/>
      <c r="K9" s="86"/>
      <c r="L9" s="71"/>
      <c r="M9" s="87"/>
      <c r="N9" s="79" t="s">
        <v>27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28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29</v>
      </c>
      <c r="L10" s="92"/>
      <c r="M10" s="93"/>
      <c r="N10" s="79" t="s">
        <v>30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31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32</v>
      </c>
      <c r="K11" s="101"/>
      <c r="L11" s="102" t="n">
        <f aca="false">COUNTIF($G$23:$G$82,"=HET")</f>
        <v>0</v>
      </c>
      <c r="M11" s="103"/>
      <c r="N11" s="79" t="s">
        <v>33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34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35</v>
      </c>
      <c r="K12" s="101"/>
      <c r="L12" s="102" t="n">
        <f aca="false">COUNTIF($G$23:$G$82,"=ALG")</f>
        <v>0</v>
      </c>
      <c r="M12" s="103"/>
      <c r="N12" s="107"/>
      <c r="O12" s="108" t="s">
        <v>29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36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37</v>
      </c>
      <c r="K13" s="101"/>
      <c r="L13" s="102" t="n">
        <f aca="false">COUNTIF($G$23:$G$82,"=BRm")+COUNTIF($G$23:$G$82,"=BRh")</f>
        <v>0</v>
      </c>
      <c r="M13" s="103"/>
      <c r="N13" s="111" t="s">
        <v>38</v>
      </c>
      <c r="O13" s="112" t="n">
        <f aca="false">COUNTIF(F23:F82,"&gt;0")</f>
        <v>30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39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40</v>
      </c>
      <c r="K14" s="101"/>
      <c r="L14" s="102" t="n">
        <f aca="false">COUNTIF($G$23:$G$82,"=PTE")+COUNTIF($G$23:$G$82,"=LIC")</f>
        <v>0</v>
      </c>
      <c r="M14" s="103"/>
      <c r="N14" s="114" t="s">
        <v>41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42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43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44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45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46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47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48</v>
      </c>
      <c r="M17" s="129" t="n">
        <f aca="false">IF(ISERROR((O13-(COUNTIF(J23:J82,"nc")))/O13),"-",(O13-(COUNTIF(J23:J82,"nc")))/O13)</f>
        <v>1</v>
      </c>
      <c r="N17" s="111" t="s">
        <v>49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50</v>
      </c>
      <c r="B18" s="132"/>
      <c r="C18" s="133"/>
      <c r="D18" s="82"/>
      <c r="E18" s="134" t="s">
        <v>51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52</v>
      </c>
      <c r="B20" s="154" t="n">
        <f aca="false">SUM(B23:B82)</f>
        <v>0.860000003129244</v>
      </c>
      <c r="C20" s="155" t="n">
        <f aca="false">SUM(C23:C82)</f>
        <v>8.26555562019348</v>
      </c>
      <c r="D20" s="156"/>
      <c r="E20" s="157" t="s">
        <v>51</v>
      </c>
      <c r="F20" s="158" t="n">
        <f aca="false">($B20*$B$7+$C20*$C$7)/100</f>
        <v>5.00711114868522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53</v>
      </c>
      <c r="B21" s="166" t="n">
        <f aca="false">B20*B7/100</f>
        <v>0.378400001376867</v>
      </c>
      <c r="C21" s="166" t="n">
        <f aca="false">C20*C7/100</f>
        <v>4.62871114730835</v>
      </c>
      <c r="D21" s="167" t="s">
        <v>54</v>
      </c>
      <c r="E21" s="168"/>
      <c r="F21" s="169" t="n">
        <f aca="false">B21+C21</f>
        <v>5.00711114868522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55</v>
      </c>
    </row>
    <row r="22" customFormat="false" ht="12.75" hidden="false" customHeight="false" outlineLevel="0" collapsed="false">
      <c r="A22" s="178" t="s">
        <v>56</v>
      </c>
      <c r="B22" s="179" t="s">
        <v>57</v>
      </c>
      <c r="C22" s="179" t="s">
        <v>57</v>
      </c>
      <c r="D22" s="180"/>
      <c r="E22" s="181"/>
      <c r="F22" s="182" t="s">
        <v>58</v>
      </c>
      <c r="G22" s="183" t="s">
        <v>59</v>
      </c>
      <c r="H22" s="82" t="s">
        <v>60</v>
      </c>
      <c r="I22" s="6" t="s">
        <v>61</v>
      </c>
      <c r="J22" s="184" t="s">
        <v>62</v>
      </c>
      <c r="K22" s="184" t="s">
        <v>63</v>
      </c>
      <c r="L22" s="185" t="s">
        <v>64</v>
      </c>
      <c r="M22" s="185"/>
      <c r="N22" s="185"/>
      <c r="O22" s="185"/>
      <c r="P22" s="177" t="s">
        <v>65</v>
      </c>
      <c r="Q22" s="186" t="s">
        <v>66</v>
      </c>
      <c r="R22" s="187" t="s">
        <v>67</v>
      </c>
      <c r="S22" s="188" t="s">
        <v>68</v>
      </c>
      <c r="T22" s="189" t="s">
        <v>69</v>
      </c>
      <c r="U22" s="189" t="s">
        <v>70</v>
      </c>
      <c r="V22" s="190" t="s">
        <v>71</v>
      </c>
      <c r="W22" s="191" t="s">
        <v>72</v>
      </c>
      <c r="X22" s="191" t="s">
        <v>73</v>
      </c>
      <c r="Y22" s="192" t="s">
        <v>74</v>
      </c>
      <c r="Z22" s="192" t="s">
        <v>75</v>
      </c>
    </row>
    <row r="23" customFormat="false" ht="12.75" hidden="false" customHeight="false" outlineLevel="0" collapsed="false">
      <c r="A23" s="193" t="s">
        <v>76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77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78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77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77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NOSSPX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0.00439999990165234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81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AGRSTO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0.00439999990165234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77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FONANT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0.00439999990165234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77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IRIPSE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0.0399999991059303</v>
      </c>
      <c r="C29" s="212" t="n">
        <v>0.0299999993294477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0.0343999992311001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77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MELSPX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0.0199999995529652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0.00879999980330467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77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PHAARU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0.00559999987483025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81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SCISYL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0.100000001490116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0.0440000006556511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77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SPAERE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0.00999999977648258</v>
      </c>
      <c r="C33" s="212" t="n">
        <v>0.0155555997043848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0.0131111357361078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77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ULOSPX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0.00999999977648258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0.00439999990165234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77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VERBEC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0.00999999977648258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0.00999999977648258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77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HYAFLU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0.00999999977648258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77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FISCRA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0.200000002980232</v>
      </c>
      <c r="C37" s="212" t="n">
        <v>6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3.4480000013113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77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RHYRIP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93</v>
      </c>
      <c r="B38" s="211" t="n">
        <v>0.00999999977648258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0.00999999977648258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77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AUDSPX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0.00999999977648258</v>
      </c>
      <c r="C39" s="212" t="n">
        <v>0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0.00439999990165234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77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PHOSPX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95</v>
      </c>
      <c r="B40" s="211" t="n">
        <v>0.200000002980232</v>
      </c>
      <c r="C40" s="212" t="n">
        <v>0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0.0880000013113022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81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GLYFLU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96</v>
      </c>
      <c r="B41" s="211" t="n">
        <v>0.00999999977648258</v>
      </c>
      <c r="C41" s="212" t="n">
        <v>0.5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0.284399999901652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77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BRARIV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15</v>
      </c>
      <c r="B42" s="211" t="n">
        <v>0.100000001490116</v>
      </c>
      <c r="C42" s="212" t="n">
        <v>0.600000023841858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0.380000014007092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77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CHIPOL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97</v>
      </c>
      <c r="B43" s="211" t="n">
        <v>0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0.00559999987483025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77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HILSPX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98</v>
      </c>
      <c r="B44" s="211" t="n">
        <v>0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0.00559999987483025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77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SCAUND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99</v>
      </c>
      <c r="B45" s="211" t="n">
        <v>0</v>
      </c>
      <c r="C45" s="212" t="n">
        <v>0.00999999977648258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0.00559999987483025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77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CRAFIL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100</v>
      </c>
      <c r="B46" s="211" t="n">
        <v>0.00999999977648258</v>
      </c>
      <c r="C46" s="212" t="n">
        <v>0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0.00439999990165234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77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AJUREP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 t="s">
        <v>101</v>
      </c>
      <c r="B47" s="211" t="n">
        <v>0.00999999977648258</v>
      </c>
      <c r="C47" s="212" t="n">
        <v>0</v>
      </c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n">
        <f aca="false">IF(AND(OR(A47="",A47="!!!!!!"),B47="",C47=""),"",IF(OR(AND(B47="",C47=""),ISERROR(C47+B47)),"!!!",($B47*$B$7+$C47*$C$7)/100))</f>
        <v>0.00439999990165234</v>
      </c>
      <c r="G47" s="216" t="str">
        <f aca="false">IF(A47="","",IF(ISERROR(VLOOKUP($A47,,9,0)),IF(ISERROR(VLOOKUP($A47,,8,0)),"    -",VLOOKUP($A47,,8,0)),VLOOKUP($A47,,9,0)))</f>
        <v>    -</v>
      </c>
      <c r="H47" s="217" t="str">
        <f aca="false">IF(A47="","x",IF(ISERROR(VLOOKUP($A47,,10,0)),IF(ISERROR(VLOOKUP($A47,,9,0)),"x",VLOOKUP($A47,,9,0)),VLOOKUP($A47,,10,0)))</f>
        <v>x</v>
      </c>
      <c r="I47" s="6" t="n">
        <f aca="false">IF(A47="","",1)</f>
        <v>1</v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>non répertorié ou synonyme. Vérifiez !</v>
      </c>
      <c r="M47" s="219"/>
      <c r="N47" s="219"/>
      <c r="O47" s="219"/>
      <c r="P47" s="220" t="s">
        <v>77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>CHHHIS</v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 t="s">
        <v>102</v>
      </c>
      <c r="B48" s="211" t="n">
        <v>0.00999999977648258</v>
      </c>
      <c r="C48" s="212" t="n">
        <v>0</v>
      </c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n">
        <f aca="false">IF(AND(OR(A48="",A48="!!!!!!"),B48="",C48=""),"",IF(OR(AND(B48="",C48=""),ISERROR(C48+B48)),"!!!",($B48*$B$7+$C48*$C$7)/100))</f>
        <v>0.00439999990165234</v>
      </c>
      <c r="G48" s="216" t="str">
        <f aca="false">IF(A48="","",IF(ISERROR(VLOOKUP($A48,,9,0)),IF(ISERROR(VLOOKUP($A48,,8,0)),"    -",VLOOKUP($A48,,8,0)),VLOOKUP($A48,,9,0)))</f>
        <v>    -</v>
      </c>
      <c r="H48" s="217" t="str">
        <f aca="false">IF(A48="","x",IF(ISERROR(VLOOKUP($A48,,10,0)),IF(ISERROR(VLOOKUP($A48,,9,0)),"x",VLOOKUP($A48,,9,0)),VLOOKUP($A48,,10,0)))</f>
        <v>x</v>
      </c>
      <c r="I48" s="6" t="n">
        <f aca="false">IF(A48="","",1)</f>
        <v>1</v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>non répertorié ou synonyme. Vérifiez !</v>
      </c>
      <c r="M48" s="219"/>
      <c r="N48" s="219"/>
      <c r="O48" s="219"/>
      <c r="P48" s="220" t="s">
        <v>77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>EPITET</v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 t="s">
        <v>103</v>
      </c>
      <c r="B49" s="211" t="n">
        <v>0.00999999977648258</v>
      </c>
      <c r="C49" s="212" t="n">
        <v>0.00999999977648258</v>
      </c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n">
        <f aca="false">IF(AND(OR(A49="",A49="!!!!!!"),B49="",C49=""),"",IF(OR(AND(B49="",C49=""),ISERROR(C49+B49)),"!!!",($B49*$B$7+$C49*$C$7)/100))</f>
        <v>0.00999999977648258</v>
      </c>
      <c r="G49" s="216" t="str">
        <f aca="false">IF(A49="","",IF(ISERROR(VLOOKUP($A49,,9,0)),IF(ISERROR(VLOOKUP($A49,,8,0)),"    -",VLOOKUP($A49,,8,0)),VLOOKUP($A49,,9,0)))</f>
        <v>    -</v>
      </c>
      <c r="H49" s="217" t="str">
        <f aca="false">IF(A49="","x",IF(ISERROR(VLOOKUP($A49,,10,0)),IF(ISERROR(VLOOKUP($A49,,9,0)),"x",VLOOKUP($A49,,9,0)),VLOOKUP($A49,,10,0)))</f>
        <v>x</v>
      </c>
      <c r="I49" s="6" t="n">
        <f aca="false">IF(A49="","",1)</f>
        <v>1</v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>non répertorié ou synonyme. Vérifiez !</v>
      </c>
      <c r="M49" s="219"/>
      <c r="N49" s="219"/>
      <c r="O49" s="219"/>
      <c r="P49" s="220" t="s">
        <v>77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>MENLON</v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 t="s">
        <v>104</v>
      </c>
      <c r="B50" s="211" t="n">
        <v>0.00999999977648258</v>
      </c>
      <c r="C50" s="212" t="n">
        <v>0.00999999977648258</v>
      </c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n">
        <f aca="false">IF(AND(OR(A50="",A50="!!!!!!"),B50="",C50=""),"",IF(OR(AND(B50="",C50=""),ISERROR(C50+B50)),"!!!",($B50*$B$7+$C50*$C$7)/100))</f>
        <v>0.00999999977648258</v>
      </c>
      <c r="G50" s="216" t="str">
        <f aca="false">IF(A50="","",IF(ISERROR(VLOOKUP($A50,,9,0)),IF(ISERROR(VLOOKUP($A50,,8,0)),"    -",VLOOKUP($A50,,8,0)),VLOOKUP($A50,,9,0)))</f>
        <v>    -</v>
      </c>
      <c r="H50" s="217" t="str">
        <f aca="false">IF(A50="","x",IF(ISERROR(VLOOKUP($A50,,10,0)),IF(ISERROR(VLOOKUP($A50,,9,0)),"x",VLOOKUP($A50,,9,0)),VLOOKUP($A50,,10,0)))</f>
        <v>x</v>
      </c>
      <c r="I50" s="6" t="n">
        <f aca="false">IF(A50="","",1)</f>
        <v>1</v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>non répertorié ou synonyme. Vérifiez !</v>
      </c>
      <c r="M50" s="219"/>
      <c r="N50" s="219"/>
      <c r="O50" s="219"/>
      <c r="P50" s="220" t="s">
        <v>77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>PAASPX</v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 t="s">
        <v>105</v>
      </c>
      <c r="B51" s="211" t="n">
        <v>0.00999999977648258</v>
      </c>
      <c r="C51" s="212" t="n">
        <v>0</v>
      </c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n">
        <f aca="false">IF(AND(OR(A51="",A51="!!!!!!"),B51="",C51=""),"",IF(OR(AND(B51="",C51=""),ISERROR(C51+B51)),"!!!",($B51*$B$7+$C51*$C$7)/100))</f>
        <v>0.00439999990165234</v>
      </c>
      <c r="G51" s="216" t="str">
        <f aca="false">IF(A51="","",IF(ISERROR(VLOOKUP($A51,,9,0)),IF(ISERROR(VLOOKUP($A51,,8,0)),"    -",VLOOKUP($A51,,8,0)),VLOOKUP($A51,,9,0)))</f>
        <v>    -</v>
      </c>
      <c r="H51" s="217" t="str">
        <f aca="false">IF(A51="","x",IF(ISERROR(VLOOKUP($A51,,10,0)),IF(ISERROR(VLOOKUP($A51,,9,0)),"x",VLOOKUP($A51,,9,0)),VLOOKUP($A51,,10,0)))</f>
        <v>x</v>
      </c>
      <c r="I51" s="6" t="n">
        <f aca="false">IF(A51="","",1)</f>
        <v>1</v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>non répertorié ou synonyme. Vérifiez !</v>
      </c>
      <c r="M51" s="219"/>
      <c r="N51" s="219"/>
      <c r="O51" s="219"/>
      <c r="P51" s="220" t="s">
        <v>77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>RANREP</v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 t="s">
        <v>106</v>
      </c>
      <c r="B52" s="211" t="n">
        <v>0.00999999977648258</v>
      </c>
      <c r="C52" s="212" t="n">
        <v>1</v>
      </c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n">
        <f aca="false">IF(AND(OR(A52="",A52="!!!!!!"),B52="",C52=""),"",IF(OR(AND(B52="",C52=""),ISERROR(C52+B52)),"!!!",($B52*$B$7+$C52*$C$7)/100))</f>
        <v>0.564399999901652</v>
      </c>
      <c r="G52" s="216" t="str">
        <f aca="false">IF(A52="","",IF(ISERROR(VLOOKUP($A52,,9,0)),IF(ISERROR(VLOOKUP($A52,,8,0)),"    -",VLOOKUP($A52,,8,0)),VLOOKUP($A52,,9,0)))</f>
        <v>    -</v>
      </c>
      <c r="H52" s="217" t="str">
        <f aca="false">IF(A52="","x",IF(ISERROR(VLOOKUP($A52,,10,0)),IF(ISERROR(VLOOKUP($A52,,9,0)),"x",VLOOKUP($A52,,9,0)),VLOOKUP($A52,,10,0)))</f>
        <v>x</v>
      </c>
      <c r="I52" s="6" t="n">
        <f aca="false">IF(A52="","",1)</f>
        <v>1</v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>Erythranthe guttata</v>
      </c>
      <c r="M52" s="219"/>
      <c r="N52" s="219"/>
      <c r="O52" s="219"/>
      <c r="P52" s="220" t="s">
        <v>77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>NoCod</v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 t="s">
        <v>107</v>
      </c>
      <c r="X52" s="224"/>
      <c r="Y52" s="207" t="str">
        <f aca="false">IF(AND(ISNUMBER(F52),OR(A52="",A52="!!!!!!")),"!!!!!!",IF(A52="new.cod","NEWCOD",IF(AND((Z52=""),ISTEXT(A52),A52&lt;&gt;"!!!!!!"),A52,IF(Z52="","",INDEX(,Z52)))))</f>
        <v>NEWCOD</v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77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77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77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77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77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77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77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77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77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77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77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77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77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77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77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77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77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77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77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77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77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77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77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77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77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77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77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77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77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77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5.00711114868522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ruisseau de la Ribeyre ou de la Combe</v>
      </c>
      <c r="B84" s="175" t="str">
        <f aca="false">C3</f>
        <v>LA RIBEYRE A LESPERON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30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5.00711114868522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110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111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112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113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114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115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2024-06-19T17:09:24Z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