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5000" sheetId="1" state="visible" r:id="rId3"/>
  </sheets>
  <externalReferences>
    <externalReference r:id="rId4"/>
  </externalReferences>
  <definedNames>
    <definedName function="false" hidden="false" localSheetId="0" name="Excel_BuiltIn_Print_Area" vbProcedure="false">'065000'!$A$1:$O$82</definedName>
    <definedName function="false" hidden="false" localSheetId="0" name="Excel_BuiltIn__FilterDatabase" vbProcedure="false">'065000'!$A$23:$J$84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7</xdr:rowOff>
              </xdr:from>
              <xdr:to>
                <xdr:col>15</xdr:col>
                <xdr:colOff>4</xdr:colOff>
                <xdr:row>3</xdr:row>
                <xdr:rowOff>4</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<sst xmlns="http://schemas.openxmlformats.org/spreadsheetml/2006/main" count="100" uniqueCount="95">
  <si>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</si>
  <si>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</si>
  <si>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</si>
  <si>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</si>
  <si>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</si>
  <si>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JORDANNE</t>
  </si>
  <si>
    <t xml:space="preserve">St Simon</t>
  </si>
  <si>
    <t xml:space="preserve">05065000</t>
  </si>
  <si>
    <t xml:space="preserve">AEAG 2013 Dordogne</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</si>
  <si>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</si>
  <si>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</si>
  <si>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</si>
  <si>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</si>
  <si>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</si>
  <si>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</si>
  <si>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</si>
  <si>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</si>
  <si>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</si>
  <si>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pl. courant</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</si>
  <si>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</si>
  <si>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</si>
  <si>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</si>
  <si>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</si>
  <si>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</si>
  <si>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</si>
  <si>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</si>
  <si>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</si>
  <si>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</si>
  <si>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</si>
  <si>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</si>
  <si>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</si>
  <si>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</si>
  <si>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</si>
  <si>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</si>
  <si>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</si>
  <si>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</si>
  <si>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</si>
  <si>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</si>
  <si>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</si>
  <si>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</si>
  <si>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</si>
  <si>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</si>
  <si>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</si>
  <si>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</si>
  <si>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</si>
  <si>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</si>
  <si>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</si>
  <si>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</si>
  <si>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</si>
  <si>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</si>
  <si>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</si>
  <si>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</si>
  <si>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</si>
  <si>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</si>
  <si>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</si>
  <si>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</si>
  <si>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</si>
  <si>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</si>
  <si>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</si>
  <si>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</si>
  <si>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</si>
  <si>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</si>
  <si>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</si>
  <si>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</si>
  <si>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</si>
  <si>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</si>
  <si>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</si>
  <si>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</si>
  <si>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</si>
  <si>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</si>
  <si>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</si>
  <si>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</si>
  <si>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</si>
  <si>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</si>
  <si>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</si>
  <si>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</si>
  <si>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</si>
  <si>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</si>
  <si>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</si>
  <si>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MELSPX</t>
  </si>
  <si>
    <t xml:space="preserve">OEDSPX</t>
  </si>
  <si>
    <t xml:space="preserve">AMBFLU</t>
  </si>
  <si>
    <t xml:space="preserve">AMBRIP</t>
  </si>
  <si>
    <t xml:space="preserve">FONANT</t>
  </si>
  <si>
    <t xml:space="preserve">GLYFLU</t>
  </si>
  <si>
    <t xml:space="preserve">MENAQU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</si>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</sst>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10" borderId="30" xfId="0" applyFont="true" applyBorder="true" applyAlignment="true" applyProtection="true">
      <alignment horizontal="center" vertical="top" textRotation="0" wrapText="false" indent="0" shrinkToFit="false"/>
      <protection locked="true" hidden="true"/>
    </xf>
    <xf numFmtId="164" fontId="19" fillId="4" borderId="17" xfId="0" applyFont="true" applyBorder="true" applyAlignment="true" applyProtection="true">
      <alignment horizontal="center" vertical="top" textRotation="0" wrapText="false" indent="0" shrinkToFit="false"/>
      <protection locked="true" hidden="true"/>
    </xf>
    <xf numFmtId="164" fontId="20"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1"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2" fillId="8" borderId="31" xfId="0" applyFont="true" applyBorder="true" applyAlignment="true" applyProtection="true">
      <alignment horizontal="left" vertical="top" textRotation="0" wrapText="false" indent="0" shrinkToFit="false"/>
      <protection locked="true" hidden="true"/>
    </xf>
    <xf numFmtId="164" fontId="23" fillId="8" borderId="13" xfId="0" applyFont="true" applyBorder="true" applyAlignment="true" applyProtection="true">
      <alignment horizontal="left" vertical="top" textRotation="0" wrapText="false" indent="0" shrinkToFit="false"/>
      <protection locked="true" hidden="true"/>
    </xf>
    <xf numFmtId="164" fontId="23" fillId="8" borderId="32" xfId="0" applyFont="true" applyBorder="true" applyAlignment="true" applyProtection="true">
      <alignment horizontal="left" vertical="top" textRotation="0" wrapText="false" indent="0" shrinkToFit="false"/>
      <protection locked="true" hidden="true"/>
    </xf>
    <xf numFmtId="164" fontId="23"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4"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5" fillId="7" borderId="2" xfId="0" applyFont="true" applyBorder="true" applyAlignment="true" applyProtection="true">
      <alignment horizontal="right" vertical="bottom" textRotation="0" wrapText="false" indent="0" shrinkToFit="false"/>
      <protection locked="true" hidden="true"/>
    </xf>
    <xf numFmtId="170" fontId="25"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6" fillId="9" borderId="18" xfId="0" applyFont="true" applyBorder="true" applyAlignment="true" applyProtection="true">
      <alignment horizontal="general" vertical="bottom" textRotation="0" wrapText="false" indent="0" shrinkToFit="false"/>
      <protection locked="true" hidden="true"/>
    </xf>
    <xf numFmtId="164" fontId="0" fillId="11" borderId="6" xfId="0" applyFont="true" applyBorder="true" applyAlignment="true" applyProtection="true">
      <alignment horizontal="center" vertical="bottom" textRotation="0" wrapText="false" indent="0" shrinkToFit="false"/>
      <protection locked="false" hidden="false"/>
    </xf>
    <xf numFmtId="167" fontId="0" fillId="11"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4"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1" borderId="39" xfId="0" applyFont="true" applyBorder="true" applyAlignment="true" applyProtection="true">
      <alignment horizontal="center" vertical="bottom" textRotation="0" wrapText="false" indent="0" shrinkToFit="false"/>
      <protection locked="false" hidden="false"/>
    </xf>
    <xf numFmtId="167" fontId="0" fillId="11"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1" borderId="43" xfId="0" applyFont="true" applyBorder="true" applyAlignment="true" applyProtection="true">
      <alignment horizontal="center" vertical="bottom" textRotation="0" wrapText="false" indent="0" shrinkToFit="false"/>
      <protection locked="false" hidden="false"/>
    </xf>
    <xf numFmtId="167" fontId="0"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2"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3"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1" borderId="49" xfId="0" applyFont="true" applyBorder="true" applyAlignment="true" applyProtection="true">
      <alignment horizontal="center" vertical="bottom" textRotation="0" wrapText="false" indent="0" shrinkToFit="false"/>
      <protection locked="false" hidden="false"/>
    </xf>
    <xf numFmtId="167" fontId="0"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1" borderId="52" xfId="0" applyFont="true" applyBorder="true" applyAlignment="true" applyProtection="true">
      <alignment horizontal="center" vertical="bottom" textRotation="0" wrapText="false" indent="0" shrinkToFit="false"/>
      <protection locked="false" hidden="false"/>
    </xf>
    <xf numFmtId="167" fontId="0"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30" fillId="9" borderId="0" xfId="0" applyFont="true" applyBorder="true" applyAlignment="true" applyProtection="true">
      <alignment horizontal="general" vertical="bottom" textRotation="0" wrapText="false" indent="0" shrinkToFit="false"/>
      <protection locked="true" hidden="true"/>
    </xf>
    <xf numFmtId="164" fontId="30" fillId="9" borderId="13" xfId="0" applyFont="true" applyBorder="true" applyAlignment="true" applyProtection="true">
      <alignment horizontal="general" vertical="bottom" textRotation="0" wrapText="false" indent="0" shrinkToFit="false"/>
      <protection locked="true" hidden="true"/>
    </xf>
    <xf numFmtId="164" fontId="30"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9" fillId="9" borderId="18" xfId="0" applyFont="true" applyBorder="true" applyAlignment="true" applyProtection="true">
      <alignment horizontal="center" vertical="bottom" textRotation="0" wrapText="false" indent="0" shrinkToFit="false"/>
      <protection locked="true" hidden="true"/>
    </xf>
    <xf numFmtId="170" fontId="29"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2"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1"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9" fillId="7" borderId="62" xfId="0" applyFont="true" applyBorder="true" applyAlignment="true" applyProtection="true">
      <alignment horizontal="right" vertical="bottom" textRotation="0" wrapText="false" indent="0" shrinkToFit="false"/>
      <protection locked="true" hidden="true"/>
    </xf>
    <xf numFmtId="168" fontId="29"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9" fillId="3" borderId="0" xfId="0" applyFont="true" applyBorder="false" applyAlignment="true" applyProtection="true">
      <alignment horizontal="general"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9"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1"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1"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1"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9" fillId="7" borderId="64" xfId="0" applyFont="true" applyBorder="true" applyAlignment="true" applyProtection="true">
      <alignment horizontal="right" vertical="bottom" textRotation="0" wrapText="false" indent="0" shrinkToFit="false"/>
      <protection locked="true" hidden="true"/>
    </xf>
    <xf numFmtId="164" fontId="29" fillId="7" borderId="64" xfId="0" applyFont="true" applyBorder="true" applyAlignment="true" applyProtection="tru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3_Mphyt_IBMR_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69400"/>
      <sheetName val="064000"/>
      <sheetName val="063950"/>
      <sheetName val="065000"/>
      <sheetName val="066000"/>
      <sheetName val="071300"/>
      <sheetName val="069250"/>
      <sheetName val="68920"/>
      <sheetName val="068640"/>
      <sheetName val="068645"/>
      <sheetName val="06550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41502</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11</v>
      </c>
      <c r="M5" s="52"/>
      <c r="N5" s="53" t="s">
        <v>16</v>
      </c>
      <c r="O5" s="54" t="n">
        <v>10.8</v>
      </c>
      <c r="P5" s="55"/>
      <c r="Q5" s="9"/>
      <c r="R5" s="9"/>
      <c r="S5" s="9"/>
      <c r="T5" s="9"/>
      <c r="U5" s="9"/>
      <c r="V5" s="9"/>
      <c r="W5" s="21"/>
      <c r="X5" s="41"/>
    </row>
    <row r="6" customFormat="false" ht="12.75" hidden="false" customHeight="false" outlineLevel="0" collapsed="false">
      <c r="A6" s="42" t="s">
        <v>17</v>
      </c>
      <c r="B6" s="56" t="s">
        <v>18</v>
      </c>
      <c r="C6" s="56" t="s">
        <v>19</v>
      </c>
      <c r="D6" s="45"/>
      <c r="E6" s="45"/>
      <c r="F6" s="46"/>
      <c r="G6" s="47"/>
      <c r="H6" s="45"/>
      <c r="I6" s="57" t="s">
        <v>20</v>
      </c>
      <c r="J6" s="58"/>
      <c r="K6" s="59"/>
      <c r="L6" s="60" t="s">
        <v>21</v>
      </c>
      <c r="M6" s="61"/>
      <c r="N6" s="62" t="s">
        <v>22</v>
      </c>
      <c r="O6" s="62"/>
      <c r="P6" s="63"/>
      <c r="Q6" s="9"/>
      <c r="R6" s="9"/>
      <c r="S6" s="9"/>
      <c r="T6" s="9"/>
      <c r="U6" s="9"/>
      <c r="V6" s="9"/>
      <c r="W6" s="21"/>
      <c r="X6" s="22"/>
    </row>
    <row r="7" customFormat="false" ht="12.75" hidden="false" customHeight="false" outlineLevel="0" collapsed="false">
      <c r="A7" s="64" t="s">
        <v>23</v>
      </c>
      <c r="B7" s="65" t="n">
        <v>55</v>
      </c>
      <c r="C7" s="66" t="n">
        <v>45</v>
      </c>
      <c r="D7" s="67"/>
      <c r="E7" s="67"/>
      <c r="F7" s="68" t="n">
        <f aca="false">IF((OR((B7+C7=100),(B7+C7=0))),B7+C7,"ATTENTION")</f>
        <v>100</v>
      </c>
      <c r="G7" s="69"/>
      <c r="H7" s="67"/>
      <c r="I7" s="70"/>
      <c r="J7" s="71"/>
      <c r="K7" s="72"/>
      <c r="L7" s="73"/>
      <c r="M7" s="74"/>
      <c r="N7" s="75" t="s">
        <v>24</v>
      </c>
      <c r="O7" s="76" t="s">
        <v>25</v>
      </c>
      <c r="P7" s="77"/>
      <c r="Q7" s="9"/>
      <c r="R7" s="9"/>
      <c r="S7" s="9"/>
      <c r="T7" s="9"/>
      <c r="U7" s="9"/>
      <c r="V7" s="9"/>
      <c r="W7" s="21"/>
      <c r="X7" s="22"/>
    </row>
    <row r="8" customFormat="false" ht="12.75" hidden="false" customHeight="false" outlineLevel="0" collapsed="false">
      <c r="A8" s="78" t="s">
        <v>26</v>
      </c>
      <c r="B8" s="78"/>
      <c r="C8" s="78"/>
      <c r="D8" s="67"/>
      <c r="E8" s="67"/>
      <c r="F8" s="79" t="s">
        <v>27</v>
      </c>
      <c r="G8" s="80"/>
      <c r="H8" s="81"/>
      <c r="I8" s="70"/>
      <c r="J8" s="71"/>
      <c r="K8" s="72"/>
      <c r="L8" s="73"/>
      <c r="M8" s="82" t="s">
        <v>28</v>
      </c>
      <c r="N8" s="83" t="n">
        <f aca="false">IF(ISERROR(AVERAGE(I23:I82)),"     -",AVERAGE(I23:I82))</f>
        <v>10.5555555555556</v>
      </c>
      <c r="O8" s="83" t="n">
        <f aca="false">IF(ISERROR(AVERAGE(J23:J82)),"      -",AVERAGE(J23:J82))</f>
        <v>1.55555555555556</v>
      </c>
      <c r="P8" s="84"/>
      <c r="Q8" s="9"/>
      <c r="R8" s="9"/>
      <c r="S8" s="9"/>
      <c r="T8" s="9"/>
      <c r="U8" s="9"/>
      <c r="V8" s="9"/>
      <c r="W8" s="21"/>
      <c r="X8" s="22"/>
    </row>
    <row r="9" customFormat="false" ht="12.75" hidden="false" customHeight="false" outlineLevel="0" collapsed="false">
      <c r="A9" s="42" t="s">
        <v>29</v>
      </c>
      <c r="B9" s="85" t="n">
        <v>2.84</v>
      </c>
      <c r="C9" s="86" t="n">
        <v>0.05</v>
      </c>
      <c r="D9" s="87"/>
      <c r="E9" s="87"/>
      <c r="F9" s="88" t="n">
        <f aca="false">($B9*$B$7+$C9*$C$7)/100</f>
        <v>1.5845</v>
      </c>
      <c r="G9" s="89"/>
      <c r="H9" s="90"/>
      <c r="I9" s="91"/>
      <c r="J9" s="92"/>
      <c r="K9" s="72"/>
      <c r="L9" s="93"/>
      <c r="M9" s="82" t="s">
        <v>30</v>
      </c>
      <c r="N9" s="83" t="n">
        <f aca="false">IF(ISERROR(STDEVP(I23:I82)),"     -",STDEVP(I23:I82))</f>
        <v>3.1308895119123</v>
      </c>
      <c r="O9" s="83" t="n">
        <f aca="false">IF(ISERROR(STDEVP(J23:J82)),"      -",STDEVP(J23:J82))</f>
        <v>0.496903994999953</v>
      </c>
      <c r="P9" s="84"/>
      <c r="Q9" s="9"/>
      <c r="R9" s="9"/>
      <c r="S9" s="9"/>
      <c r="T9" s="9"/>
      <c r="U9" s="9"/>
      <c r="V9" s="9"/>
      <c r="W9" s="94"/>
      <c r="X9" s="95"/>
    </row>
    <row r="10" customFormat="false" ht="12.75" hidden="false" customHeight="false" outlineLevel="0" collapsed="false">
      <c r="A10" s="96" t="s">
        <v>31</v>
      </c>
      <c r="B10" s="97" t="s">
        <v>32</v>
      </c>
      <c r="C10" s="98" t="s">
        <v>32</v>
      </c>
      <c r="D10" s="99"/>
      <c r="E10" s="99"/>
      <c r="F10" s="88"/>
      <c r="G10" s="89"/>
      <c r="H10" s="100"/>
      <c r="I10" s="101"/>
      <c r="J10" s="102" t="s">
        <v>33</v>
      </c>
      <c r="K10" s="102"/>
      <c r="L10" s="103"/>
      <c r="M10" s="104" t="s">
        <v>34</v>
      </c>
      <c r="N10" s="105" t="n">
        <f aca="false">MIN(I23:I82)</f>
        <v>5</v>
      </c>
      <c r="O10" s="105" t="n">
        <f aca="false">MIN(J23:J82)</f>
        <v>1</v>
      </c>
      <c r="P10" s="106"/>
      <c r="Q10" s="9"/>
      <c r="R10" s="9"/>
      <c r="S10" s="9"/>
      <c r="T10" s="9"/>
      <c r="U10" s="9"/>
      <c r="V10" s="9"/>
    </row>
    <row r="11" customFormat="false" ht="12.75" hidden="false" customHeight="false" outlineLevel="0" collapsed="false">
      <c r="A11" s="107" t="s">
        <v>35</v>
      </c>
      <c r="B11" s="108"/>
      <c r="C11" s="109"/>
      <c r="D11" s="110"/>
      <c r="E11" s="110"/>
      <c r="F11" s="111" t="n">
        <f aca="false">($B11*$B$7+$C11*$C$7)/100</f>
        <v>0</v>
      </c>
      <c r="G11" s="112"/>
      <c r="H11" s="67"/>
      <c r="I11" s="113" t="s">
        <v>36</v>
      </c>
      <c r="J11" s="113"/>
      <c r="K11" s="114" t="n">
        <f aca="false">COUNTIF($G$23:$G$82,"=HET")</f>
        <v>0</v>
      </c>
      <c r="L11" s="115"/>
      <c r="M11" s="104" t="s">
        <v>37</v>
      </c>
      <c r="N11" s="105" t="n">
        <f aca="false">MAX(I23:I82)</f>
        <v>15</v>
      </c>
      <c r="O11" s="105" t="n">
        <f aca="false">MAX(J23:J82)</f>
        <v>2</v>
      </c>
      <c r="P11" s="106"/>
      <c r="Q11" s="9"/>
      <c r="R11" s="9"/>
      <c r="S11" s="9"/>
      <c r="T11" s="9"/>
      <c r="U11" s="9"/>
      <c r="V11" s="9"/>
    </row>
    <row r="12" customFormat="false" ht="12.75" hidden="false" customHeight="false" outlineLevel="0" collapsed="false">
      <c r="A12" s="116" t="s">
        <v>38</v>
      </c>
      <c r="B12" s="117" t="n">
        <v>0.14</v>
      </c>
      <c r="C12" s="118" t="n">
        <v>0.01</v>
      </c>
      <c r="D12" s="110"/>
      <c r="E12" s="110"/>
      <c r="F12" s="111" t="n">
        <f aca="false">($B12*$B$7+$C12*$C$7)/100</f>
        <v>0.0815</v>
      </c>
      <c r="G12" s="119"/>
      <c r="H12" s="67"/>
      <c r="I12" s="120" t="s">
        <v>39</v>
      </c>
      <c r="J12" s="120"/>
      <c r="K12" s="114" t="n">
        <f aca="false">COUNTIF($G$23:$G$82,"=ALG")</f>
        <v>3</v>
      </c>
      <c r="L12" s="121"/>
      <c r="M12" s="122"/>
      <c r="N12" s="123" t="s">
        <v>33</v>
      </c>
      <c r="O12" s="124"/>
      <c r="P12" s="125"/>
      <c r="Q12" s="9"/>
      <c r="R12" s="9"/>
      <c r="S12" s="9"/>
      <c r="T12" s="9"/>
      <c r="U12" s="9"/>
      <c r="V12" s="9"/>
    </row>
    <row r="13" customFormat="false" ht="12.75" hidden="false" customHeight="false" outlineLevel="0" collapsed="false">
      <c r="A13" s="116" t="s">
        <v>40</v>
      </c>
      <c r="B13" s="117" t="n">
        <v>2.36</v>
      </c>
      <c r="C13" s="118" t="n">
        <v>0.01</v>
      </c>
      <c r="D13" s="110"/>
      <c r="E13" s="110"/>
      <c r="F13" s="111" t="n">
        <f aca="false">($B13*$B$7+$C13*$C$7)/100</f>
        <v>1.3025</v>
      </c>
      <c r="G13" s="119"/>
      <c r="H13" s="67"/>
      <c r="I13" s="120" t="s">
        <v>41</v>
      </c>
      <c r="J13" s="120"/>
      <c r="K13" s="114" t="n">
        <f aca="false">COUNTIF($G$23:$G$82,"=BRm")+COUNTIF($G$23:$G$82,"=BRh")</f>
        <v>4</v>
      </c>
      <c r="L13" s="115"/>
      <c r="M13" s="126" t="s">
        <v>42</v>
      </c>
      <c r="N13" s="127" t="n">
        <f aca="false">COUNTIF(F23:F82,"&gt;0")</f>
        <v>9</v>
      </c>
      <c r="O13" s="128"/>
      <c r="P13" s="129"/>
      <c r="Q13" s="9"/>
      <c r="R13" s="9"/>
      <c r="S13" s="9"/>
      <c r="T13" s="9"/>
      <c r="U13" s="9"/>
      <c r="V13" s="9"/>
    </row>
    <row r="14" customFormat="false" ht="12.75" hidden="false" customHeight="false" outlineLevel="0" collapsed="false">
      <c r="A14" s="116" t="s">
        <v>43</v>
      </c>
      <c r="B14" s="117"/>
      <c r="C14" s="118"/>
      <c r="D14" s="110"/>
      <c r="E14" s="110"/>
      <c r="F14" s="111" t="n">
        <f aca="false">($B14*$B$7+$C14*$C$7)/100</f>
        <v>0</v>
      </c>
      <c r="G14" s="119"/>
      <c r="H14" s="67"/>
      <c r="I14" s="120" t="s">
        <v>44</v>
      </c>
      <c r="J14" s="120"/>
      <c r="K14" s="114" t="n">
        <f aca="false">COUNTIF($G$23:$G$82,"=PTE")+COUNTIF($G$23:$G$82,"=LIC")</f>
        <v>0</v>
      </c>
      <c r="L14" s="115"/>
      <c r="M14" s="130" t="s">
        <v>45</v>
      </c>
      <c r="N14" s="131" t="n">
        <f aca="false">COUNTIF($I$23:$I$82,"&gt;-1")</f>
        <v>9</v>
      </c>
      <c r="O14" s="132"/>
      <c r="P14" s="129"/>
      <c r="Q14" s="9"/>
      <c r="R14" s="9"/>
      <c r="S14" s="9"/>
      <c r="T14" s="9"/>
      <c r="U14" s="9"/>
      <c r="V14" s="9"/>
    </row>
    <row r="15" customFormat="false" ht="12.75" hidden="false" customHeight="false" outlineLevel="0" collapsed="false">
      <c r="A15" s="133" t="s">
        <v>46</v>
      </c>
      <c r="B15" s="134" t="n">
        <v>0.34</v>
      </c>
      <c r="C15" s="135" t="n">
        <v>0.03</v>
      </c>
      <c r="D15" s="110"/>
      <c r="E15" s="110"/>
      <c r="F15" s="111" t="n">
        <f aca="false">($B15*$B$7+$C15*$C$7)/100</f>
        <v>0.2005</v>
      </c>
      <c r="G15" s="119"/>
      <c r="H15" s="67"/>
      <c r="I15" s="120" t="s">
        <v>47</v>
      </c>
      <c r="J15" s="120"/>
      <c r="K15" s="114" t="n">
        <f aca="false">(COUNTIF($G$23:$G$82,"=PHy"))+(COUNTIF($G$23:$G$82,"=PHe"))+(COUNTIF($G$23:$G$82,"=PHg"))+(COUNTIF($G$23:$G$82,"=PHx"))</f>
        <v>2</v>
      </c>
      <c r="L15" s="115"/>
      <c r="M15" s="136" t="s">
        <v>48</v>
      </c>
      <c r="N15" s="137" t="n">
        <f aca="false">COUNTIF(J23:J82,"=1")</f>
        <v>4</v>
      </c>
      <c r="O15" s="138"/>
      <c r="P15" s="129"/>
      <c r="Q15" s="9"/>
      <c r="R15" s="9"/>
      <c r="S15" s="9"/>
      <c r="T15" s="9"/>
      <c r="U15" s="9"/>
      <c r="V15" s="9"/>
    </row>
    <row r="16" customFormat="false" ht="12.75" hidden="false" customHeight="false" outlineLevel="0" collapsed="false">
      <c r="A16" s="107" t="s">
        <v>49</v>
      </c>
      <c r="B16" s="108"/>
      <c r="C16" s="109"/>
      <c r="D16" s="139"/>
      <c r="E16" s="139"/>
      <c r="F16" s="140"/>
      <c r="G16" s="140" t="n">
        <f aca="false">($B16*$B$7+$C16*$C$7)/100</f>
        <v>0</v>
      </c>
      <c r="H16" s="67"/>
      <c r="I16" s="120"/>
      <c r="J16" s="141"/>
      <c r="K16" s="141"/>
      <c r="L16" s="115"/>
      <c r="M16" s="136" t="s">
        <v>50</v>
      </c>
      <c r="N16" s="137" t="n">
        <f aca="false">COUNTIF(J23:J82,"=2")</f>
        <v>5</v>
      </c>
      <c r="O16" s="138"/>
      <c r="P16" s="129"/>
      <c r="Q16" s="9"/>
      <c r="R16" s="9"/>
      <c r="S16" s="9"/>
      <c r="T16" s="9"/>
      <c r="U16" s="9"/>
      <c r="V16" s="9"/>
    </row>
    <row r="17" customFormat="false" ht="12.75" hidden="false" customHeight="false" outlineLevel="0" collapsed="false">
      <c r="A17" s="116" t="s">
        <v>51</v>
      </c>
      <c r="B17" s="117" t="n">
        <v>2.5</v>
      </c>
      <c r="C17" s="118" t="n">
        <v>0.02</v>
      </c>
      <c r="D17" s="110"/>
      <c r="E17" s="110"/>
      <c r="F17" s="142"/>
      <c r="G17" s="111" t="n">
        <f aca="false">($B17*$B$7+$C17*$C$7)/100</f>
        <v>1.384</v>
      </c>
      <c r="H17" s="67"/>
      <c r="I17" s="120"/>
      <c r="J17" s="120"/>
      <c r="K17" s="141"/>
      <c r="L17" s="115"/>
      <c r="M17" s="136" t="s">
        <v>52</v>
      </c>
      <c r="N17" s="137" t="n">
        <f aca="false">COUNTIF(J23:J82,"=3")</f>
        <v>0</v>
      </c>
      <c r="O17" s="138"/>
      <c r="P17" s="129"/>
      <c r="Q17" s="9"/>
      <c r="R17" s="9"/>
      <c r="S17" s="9"/>
      <c r="T17" s="9"/>
      <c r="U17" s="9"/>
      <c r="V17" s="9"/>
    </row>
    <row r="18" customFormat="false" ht="12.75" hidden="false" customHeight="false" outlineLevel="0" collapsed="false">
      <c r="A18" s="143" t="s">
        <v>53</v>
      </c>
      <c r="B18" s="144" t="n">
        <v>0.34</v>
      </c>
      <c r="C18" s="145" t="n">
        <v>0.03</v>
      </c>
      <c r="D18" s="110"/>
      <c r="E18" s="146" t="s">
        <v>54</v>
      </c>
      <c r="F18" s="142"/>
      <c r="G18" s="111" t="n">
        <f aca="false">($B18*$B$7+$C18*$C$7)/100</f>
        <v>0.2005</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1.5845</v>
      </c>
      <c r="G19" s="155" t="n">
        <f aca="false">SUM(G16:G18)</f>
        <v>1.5845</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55</v>
      </c>
      <c r="B20" s="164" t="n">
        <f aca="false">SUM(B23:B82)</f>
        <v>2.84</v>
      </c>
      <c r="C20" s="165" t="n">
        <f aca="false">SUM(C23:C82)</f>
        <v>0.05</v>
      </c>
      <c r="D20" s="166"/>
      <c r="E20" s="167" t="s">
        <v>54</v>
      </c>
      <c r="F20" s="168" t="n">
        <f aca="false">($B20*$B$7+$C20*$C$7)/100</f>
        <v>1.5845</v>
      </c>
      <c r="G20" s="169"/>
      <c r="H20" s="170"/>
      <c r="I20" s="171"/>
      <c r="J20" s="171"/>
      <c r="K20" s="172"/>
      <c r="L20" s="46"/>
      <c r="M20" s="173"/>
      <c r="N20" s="173"/>
      <c r="O20" s="174"/>
      <c r="P20" s="175"/>
      <c r="Q20" s="176" t="s">
        <v>56</v>
      </c>
      <c r="R20" s="9"/>
      <c r="S20" s="9"/>
      <c r="T20" s="9"/>
      <c r="U20" s="9"/>
      <c r="V20" s="9"/>
      <c r="W20" s="149"/>
    </row>
    <row r="21" customFormat="false" ht="12.75" hidden="false" customHeight="false" outlineLevel="0" collapsed="false">
      <c r="A21" s="177" t="s">
        <v>57</v>
      </c>
      <c r="B21" s="178" t="n">
        <f aca="false">B20*B7/100</f>
        <v>1.562</v>
      </c>
      <c r="C21" s="178" t="n">
        <f aca="false">C20*C7/100</f>
        <v>0.0225</v>
      </c>
      <c r="D21" s="110" t="str">
        <f aca="false">IF(F21=0,"",IF((ABS(F21-F19))&gt;(0.2*F21),CONCATENATE(" rec. par taxa (",F21," %) supérieur à 20 % !"),""))</f>
        <v/>
      </c>
      <c r="E21" s="179" t="str">
        <f aca="false">IF(F21=0,"",IF((ABS(F21-F19))&gt;(0.2*F21),CONCATENATE("ATTENTION : écart entre rec. par grp (",F19," %) ","et",""),""))</f>
        <v/>
      </c>
      <c r="F21" s="180" t="n">
        <f aca="false">B21+C21</f>
        <v>1.5845</v>
      </c>
      <c r="G21" s="181"/>
      <c r="H21" s="110"/>
      <c r="I21" s="182"/>
      <c r="J21" s="182"/>
      <c r="K21" s="183"/>
      <c r="L21" s="183"/>
      <c r="M21" s="184"/>
      <c r="N21" s="184"/>
      <c r="O21" s="185"/>
      <c r="P21" s="186"/>
      <c r="Q21" s="187" t="s">
        <v>58</v>
      </c>
      <c r="R21" s="9"/>
      <c r="S21" s="9"/>
      <c r="T21" s="9"/>
      <c r="U21" s="9"/>
      <c r="V21" s="9"/>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9" t="s">
        <v>73</v>
      </c>
      <c r="Z22" s="9" t="s">
        <v>74</v>
      </c>
      <c r="AA22" s="201" t="s">
        <v>75</v>
      </c>
      <c r="AB22" s="201" t="s">
        <v>76</v>
      </c>
      <c r="AC22" s="201" t="s">
        <v>77</v>
      </c>
    </row>
    <row r="23" customFormat="false" ht="12.75" hidden="false" customHeight="false" outlineLevel="0" collapsed="false">
      <c r="A23" s="202" t="s">
        <v>78</v>
      </c>
      <c r="B23" s="203" t="n">
        <v>0.05</v>
      </c>
      <c r="C23" s="204"/>
      <c r="D23" s="205" t="str">
        <f aca="false">IF(ISERROR(VLOOKUP($A23,'[1]liste reference'!$A$7:$D$904,2,0)),IF(ISERROR(VLOOKUP($A23,'[1]liste reference'!$B$7:$D$904,1,0)),"",VLOOKUP($A23,'[1]liste reference'!$B$7:$D$904,1,0)),VLOOKUP($A23,'[1]liste reference'!$A$7:$D$904,2,0))</f>
        <v>Lemanea sp.</v>
      </c>
      <c r="E23" s="205" t="e">
        <f aca="false">IF(D23="",0,VLOOKUP(D23,D$22:D22,1,0))</f>
        <v>#N/A</v>
      </c>
      <c r="F23" s="206" t="n">
        <f aca="false">($B23*$B$7+$C23*$C$7)/100</f>
        <v>0.0275</v>
      </c>
      <c r="G23" s="207" t="str">
        <f aca="false">IF(A23="","",IF(ISERROR(VLOOKUP($A23,'[1]liste reference'!$A$7:$P$904,13,0)),IF(ISERROR(VLOOKUP($A23,'[1]liste reference'!$B$7:$P$904,12,0)),"    -",VLOOKUP($A23,'[1]liste reference'!$B$7:$P$904,12,0)),VLOOKUP($A23,'[1]liste reference'!$A$7:$P$904,13,0)))</f>
        <v>ALG</v>
      </c>
      <c r="H23" s="208" t="n">
        <f aca="false">IF(A23="","x",IF(ISERROR(VLOOKUP($A23,'[1]liste reference'!$A$8:$P$904,14,0)),IF(ISERROR(VLOOKUP($A23,'[1]liste reference'!$B$8:$P$904,13,0)),"x",VLOOKUP($A23,'[1]liste reference'!$B$8:$P$904,13,0)),VLOOKUP($A23,'[1]liste reference'!$A$8:$P$904,14,0)))</f>
        <v>2</v>
      </c>
      <c r="I23" s="209"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0.0275</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str">
        <f aca="false">IF(AND(A23="",F23=0),"",IF(F23=0,"Il manque le(s) % de rec. !",""))</f>
        <v/>
      </c>
      <c r="W23" s="217"/>
      <c r="Y23" s="215" t="str">
        <f aca="false">IF(A23="new.cod","NEWCOD",IF(AND((Z23=""),ISTEXT(A23)),A23,IF(Z23="","",INDEX('[1]liste reference'!$A$8:$A$904,Z23))))</f>
        <v>LEASPX</v>
      </c>
      <c r="Z23" s="9" t="n">
        <f aca="false">IF(ISERROR(MATCH(A23,'[1]liste reference'!$A$8:$A$904,0)),IF(ISERROR(MATCH(A23,'[1]liste reference'!$B$8:$B$904,0)),"",(MATCH(A23,'[1]liste reference'!$B$8:$B$904,0))),(MATCH(A23,'[1]liste reference'!$A$8:$A$904,0)))</f>
        <v>34</v>
      </c>
      <c r="AA23" s="218"/>
      <c r="AB23" s="219"/>
      <c r="AC23" s="219"/>
      <c r="BB23" s="9" t="n">
        <f aca="false">IF(A23="","",1)</f>
        <v>1</v>
      </c>
    </row>
    <row r="24" customFormat="false" ht="12.75" hidden="false" customHeight="false" outlineLevel="0" collapsed="false">
      <c r="A24" s="220" t="s">
        <v>79</v>
      </c>
      <c r="B24" s="221" t="n">
        <v>0.01</v>
      </c>
      <c r="C24" s="222"/>
      <c r="D24" s="205" t="str">
        <f aca="false">IF(ISERROR(VLOOKUP($A24,'[1]liste reference'!$A$7:$D$904,2,0)),IF(ISERROR(VLOOKUP($A24,'[1]liste reference'!$B$7:$D$904,1,0)),"",VLOOKUP($A24,'[1]liste reference'!$B$7:$D$904,1,0)),VLOOKUP($A24,'[1]liste reference'!$A$7:$D$904,2,0))</f>
        <v>Melosira sp.</v>
      </c>
      <c r="E24" s="223" t="e">
        <f aca="false">IF(D24="",0,VLOOKUP(D24,D$22:D23,1,0))</f>
        <v>#N/A</v>
      </c>
      <c r="F24" s="224" t="n">
        <f aca="false">($B24*$B$7+$C24*$C$7)/100</f>
        <v>0.0055</v>
      </c>
      <c r="G24" s="207" t="str">
        <f aca="false">IF(A24="","",IF(ISERROR(VLOOKUP($A24,'[1]liste reference'!$A$7:$P$904,13,0)),IF(ISERROR(VLOOKUP($A24,'[1]liste reference'!$B$7:$P$904,12,0)),"    -",VLOOKUP($A24,'[1]liste reference'!$B$7:$P$904,12,0)),VLOOKUP($A24,'[1]liste reference'!$A$7:$P$904,13,0)))</f>
        <v>ALG</v>
      </c>
      <c r="H24" s="208" t="n">
        <f aca="false">IF(A24="","x",IF(ISERROR(VLOOKUP($A24,'[1]liste reference'!$A$8:$P$904,14,0)),IF(ISERROR(VLOOKUP($A24,'[1]liste reference'!$B$8:$P$904,13,0)),"x",VLOOKUP($A24,'[1]liste reference'!$B$8:$P$904,13,0)),VLOOKUP($A24,'[1]liste reference'!$A$8:$P$904,14,0)))</f>
        <v>2</v>
      </c>
      <c r="I24" s="209" t="n">
        <f aca="false">IF(ISNUMBER(H24),IF(ISERROR(VLOOKUP($A24,'[1]liste reference'!$A$7:$P$904,3,0)),IF(ISERROR(VLOOKUP($A24,'[1]liste reference'!$B$7:$P$904,2,0)),"",VLOOKUP($A24,'[1]liste reference'!$B$7:$P$904,2,0)),VLOOKUP($A24,'[1]liste reference'!$A$7:$P$904,3,0)),"")</f>
        <v>10</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Melosira sp.</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8714</v>
      </c>
      <c r="Q24" s="214" t="n">
        <f aca="false">IF(ISTEXT(H24),"",(B24*$B$7/100)+(C24*$C$7/100))</f>
        <v>0.0055</v>
      </c>
      <c r="R24" s="215" t="n">
        <f aca="false">IF(OR(ISTEXT(H24),Q24=0),"",IF(Q24&lt;0.1,1,IF(Q24&lt;1,2,IF(Q24&lt;10,3,IF(Q24&lt;50,4,IF(Q24&gt;=50,5,""))))))</f>
        <v>1</v>
      </c>
      <c r="S24" s="215" t="n">
        <f aca="false">IF(ISERROR(R24*I24),0,R24*I24)</f>
        <v>10</v>
      </c>
      <c r="T24" s="215" t="n">
        <f aca="false">IF(ISERROR(R24*I24*J24),0,R24*I24*J24)</f>
        <v>10</v>
      </c>
      <c r="U24" s="226" t="n">
        <f aca="false">IF(ISERROR(R24*J24),0,R24*J24)</f>
        <v>1</v>
      </c>
      <c r="V24" s="216" t="str">
        <f aca="false">IF(AND(A24="",F24=0),"",IF(F24=0,"Il manque le(s) % de rec. !",""))</f>
        <v/>
      </c>
      <c r="W24" s="217"/>
      <c r="Y24" s="215" t="str">
        <f aca="false">IF(A24="new.cod","NEWCOD",IF(AND((Z24=""),ISTEXT(A24)),A24,IF(Z24="","",INDEX('[1]liste reference'!$A$8:$A$904,Z24))))</f>
        <v>MELSPX</v>
      </c>
      <c r="Z24" s="9" t="n">
        <f aca="false">IF(ISERROR(MATCH(A24,'[1]liste reference'!$A$8:$A$904,0)),IF(ISERROR(MATCH(A24,'[1]liste reference'!$B$8:$B$904,0)),"",(MATCH(A24,'[1]liste reference'!$B$8:$B$904,0))),(MATCH(A24,'[1]liste reference'!$A$8:$A$904,0)))</f>
        <v>36</v>
      </c>
      <c r="AA24" s="218"/>
      <c r="AB24" s="219"/>
      <c r="AC24" s="219"/>
      <c r="BB24" s="9" t="n">
        <f aca="false">IF(A24="","",1)</f>
        <v>1</v>
      </c>
    </row>
    <row r="25" customFormat="false" ht="12.75" hidden="false" customHeight="false" outlineLevel="0" collapsed="false">
      <c r="A25" s="220" t="s">
        <v>80</v>
      </c>
      <c r="B25" s="221" t="n">
        <v>0.08</v>
      </c>
      <c r="C25" s="222" t="n">
        <v>0.01</v>
      </c>
      <c r="D25" s="205" t="str">
        <f aca="false">IF(ISERROR(VLOOKUP($A25,'[1]liste reference'!$A$7:$D$904,2,0)),IF(ISERROR(VLOOKUP($A25,'[1]liste reference'!$B$7:$D$904,1,0)),"",VLOOKUP($A25,'[1]liste reference'!$B$7:$D$904,1,0)),VLOOKUP($A25,'[1]liste reference'!$A$7:$D$904,2,0))</f>
        <v>Oedogonium sp.</v>
      </c>
      <c r="E25" s="223" t="e">
        <f aca="false">IF(D25="",0,VLOOKUP(D25,D$22:D24,1,0))</f>
        <v>#N/A</v>
      </c>
      <c r="F25" s="224" t="n">
        <f aca="false">($B25*$B$7+$C25*$C$7)/100</f>
        <v>0.0485</v>
      </c>
      <c r="G25" s="207" t="str">
        <f aca="false">IF(A25="","",IF(ISERROR(VLOOKUP($A25,'[1]liste reference'!$A$7:$P$904,13,0)),IF(ISERROR(VLOOKUP($A25,'[1]liste reference'!$B$7:$P$904,12,0)),"    -",VLOOKUP($A25,'[1]liste reference'!$B$7:$P$904,12,0)),VLOOKUP($A25,'[1]liste reference'!$A$7:$P$904,13,0)))</f>
        <v>ALG</v>
      </c>
      <c r="H25" s="208" t="n">
        <f aca="false">IF(A25="","x",IF(ISERROR(VLOOKUP($A25,'[1]liste reference'!$A$8:$P$904,14,0)),IF(ISERROR(VLOOKUP($A25,'[1]liste reference'!$B$8:$P$904,13,0)),"x",VLOOKUP($A25,'[1]liste reference'!$B$8:$P$904,13,0)),VLOOKUP($A25,'[1]liste reference'!$A$8:$P$904,14,0)))</f>
        <v>2</v>
      </c>
      <c r="I25" s="209" t="n">
        <f aca="false">IF(ISNUMBER(H25),IF(ISERROR(VLOOKUP($A25,'[1]liste reference'!$A$7:$P$904,3,0)),IF(ISERROR(VLOOKUP($A25,'[1]liste reference'!$B$7:$P$904,2,0)),"",VLOOKUP($A25,'[1]liste reference'!$B$7:$P$904,2,0)),VLOOKUP($A25,'[1]liste reference'!$A$7:$P$904,3,0)),"")</f>
        <v>6</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Oedogonium sp.</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1134</v>
      </c>
      <c r="Q25" s="214" t="n">
        <f aca="false">IF(ISTEXT(H25),"",(B25*$B$7/100)+(C25*$C$7/100))</f>
        <v>0.0485</v>
      </c>
      <c r="R25" s="215" t="n">
        <f aca="false">IF(OR(ISTEXT(H25),Q25=0),"",IF(Q25&lt;0.1,1,IF(Q25&lt;1,2,IF(Q25&lt;10,3,IF(Q25&lt;50,4,IF(Q25&gt;=50,5,""))))))</f>
        <v>1</v>
      </c>
      <c r="S25" s="215" t="n">
        <f aca="false">IF(ISERROR(R25*I25),0,R25*I25)</f>
        <v>6</v>
      </c>
      <c r="T25" s="215" t="n">
        <f aca="false">IF(ISERROR(R25*I25*J25),0,R25*I25*J25)</f>
        <v>12</v>
      </c>
      <c r="U25" s="226" t="n">
        <f aca="false">IF(ISERROR(R25*J25),0,R25*J25)</f>
        <v>2</v>
      </c>
      <c r="V25" s="216" t="str">
        <f aca="false">IF(AND(A25="",F25=0),"",IF(F25=0,"Il manque le(s) % de rec. !",""))</f>
        <v/>
      </c>
      <c r="W25" s="217"/>
      <c r="Y25" s="215" t="str">
        <f aca="false">IF(A25="new.cod","NEWCOD",IF(AND((Z25=""),ISTEXT(A25)),A25,IF(Z25="","",INDEX('[1]liste reference'!$A$8:$A$904,Z25))))</f>
        <v>OEDSPX</v>
      </c>
      <c r="Z25" s="9" t="n">
        <f aca="false">IF(ISERROR(MATCH(A25,'[1]liste reference'!$A$8:$A$904,0)),IF(ISERROR(MATCH(A25,'[1]liste reference'!$B$8:$B$904,0)),"",(MATCH(A25,'[1]liste reference'!$B$8:$B$904,0))),(MATCH(A25,'[1]liste reference'!$A$8:$A$904,0)))</f>
        <v>55</v>
      </c>
      <c r="AA25" s="218"/>
      <c r="AB25" s="219"/>
      <c r="AC25" s="219"/>
      <c r="BB25" s="9" t="n">
        <f aca="false">IF(A25="","",1)</f>
        <v>1</v>
      </c>
    </row>
    <row r="26" customFormat="false" ht="12.75" hidden="false" customHeight="false" outlineLevel="0" collapsed="false">
      <c r="A26" s="220" t="s">
        <v>81</v>
      </c>
      <c r="B26" s="221" t="n">
        <v>0.13</v>
      </c>
      <c r="C26" s="222"/>
      <c r="D26" s="205" t="str">
        <f aca="false">IF(ISERROR(VLOOKUP($A26,'[1]liste reference'!$A$7:$D$904,2,0)),IF(ISERROR(VLOOKUP($A26,'[1]liste reference'!$B$7:$D$904,1,0)),"",VLOOKUP($A26,'[1]liste reference'!$B$7:$D$904,1,0)),VLOOKUP($A26,'[1]liste reference'!$A$7:$D$904,2,0))</f>
        <v>Amblystegium fluviatile</v>
      </c>
      <c r="E26" s="223" t="e">
        <f aca="false">IF(D26="",0,VLOOKUP(D26,D$22:D25,1,0))</f>
        <v>#N/A</v>
      </c>
      <c r="F26" s="224" t="n">
        <f aca="false">($B26*$B$7+$C26*$C$7)/100</f>
        <v>0.0715</v>
      </c>
      <c r="G26" s="207" t="str">
        <f aca="false">IF(A26="","",IF(ISERROR(VLOOKUP($A26,'[1]liste reference'!$A$7:$P$904,13,0)),IF(ISERROR(VLOOKUP($A26,'[1]liste reference'!$B$7:$P$904,12,0)),"    -",VLOOKUP($A26,'[1]liste reference'!$B$7:$P$904,12,0)),VLOOKUP($A26,'[1]liste reference'!$A$7:$P$904,13,0)))</f>
        <v>BRm</v>
      </c>
      <c r="H26" s="208" t="n">
        <f aca="false">IF(A26="","x",IF(ISERROR(VLOOKUP($A26,'[1]liste reference'!$A$8:$P$904,14,0)),IF(ISERROR(VLOOKUP($A26,'[1]liste reference'!$B$8:$P$904,13,0)),"x",VLOOKUP($A26,'[1]liste reference'!$B$8:$P$904,13,0)),VLOOKUP($A26,'[1]liste reference'!$A$8:$P$904,14,0)))</f>
        <v>5</v>
      </c>
      <c r="I26" s="209" t="n">
        <f aca="false">IF(ISNUMBER(H26),IF(ISERROR(VLOOKUP($A26,'[1]liste reference'!$A$7:$P$904,3,0)),IF(ISERROR(VLOOKUP($A26,'[1]liste reference'!$B$7:$P$904,2,0)),"",VLOOKUP($A26,'[1]liste reference'!$B$7:$P$904,2,0)),VLOOKUP($A26,'[1]liste reference'!$A$7:$P$904,3,0)),"")</f>
        <v>11</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Amblystegium fluviatile</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1223</v>
      </c>
      <c r="Q26" s="214" t="n">
        <f aca="false">IF(ISTEXT(H26),"",(B26*$B$7/100)+(C26*$C$7/100))</f>
        <v>0.0715</v>
      </c>
      <c r="R26" s="215" t="n">
        <f aca="false">IF(OR(ISTEXT(H26),Q26=0),"",IF(Q26&lt;0.1,1,IF(Q26&lt;1,2,IF(Q26&lt;10,3,IF(Q26&lt;50,4,IF(Q26&gt;=50,5,""))))))</f>
        <v>1</v>
      </c>
      <c r="S26" s="215" t="n">
        <f aca="false">IF(ISERROR(R26*I26),0,R26*I26)</f>
        <v>11</v>
      </c>
      <c r="T26" s="215" t="n">
        <f aca="false">IF(ISERROR(R26*I26*J26),0,R26*I26*J26)</f>
        <v>22</v>
      </c>
      <c r="U26" s="226" t="n">
        <f aca="false">IF(ISERROR(R26*J26),0,R26*J26)</f>
        <v>2</v>
      </c>
      <c r="V26" s="216" t="str">
        <f aca="false">IF(AND(A26="",F26=0),"",IF(F26=0,"Il manque le(s) % de rec. !",""))</f>
        <v/>
      </c>
      <c r="W26" s="217"/>
      <c r="X26" s="217"/>
      <c r="Y26" s="215" t="str">
        <f aca="false">IF(A26="new.cod","NEWCOD",IF(AND((Z26=""),ISTEXT(A26)),A26,IF(Z26="","",INDEX('[1]liste reference'!$A$8:$A$904,Z26))))</f>
        <v>AMBFLU</v>
      </c>
      <c r="Z26" s="9" t="n">
        <f aca="false">IF(ISERROR(MATCH(A26,'[1]liste reference'!$A$8:$A$904,0)),IF(ISERROR(MATCH(A26,'[1]liste reference'!$B$8:$B$904,0)),"",(MATCH(A26,'[1]liste reference'!$B$8:$B$904,0))),(MATCH(A26,'[1]liste reference'!$A$8:$A$904,0)))</f>
        <v>147</v>
      </c>
      <c r="AA26" s="218"/>
      <c r="AB26" s="219"/>
      <c r="AC26" s="219"/>
      <c r="BB26" s="9" t="n">
        <f aca="false">IF(A26="","",1)</f>
        <v>1</v>
      </c>
    </row>
    <row r="27" customFormat="false" ht="12.75" hidden="false" customHeight="false" outlineLevel="0" collapsed="false">
      <c r="A27" s="220" t="s">
        <v>82</v>
      </c>
      <c r="B27" s="221" t="n">
        <v>0.13</v>
      </c>
      <c r="C27" s="222"/>
      <c r="D27" s="205" t="str">
        <f aca="false">IF(ISERROR(VLOOKUP($A27,'[1]liste reference'!$A$7:$D$904,2,0)),IF(ISERROR(VLOOKUP($A27,'[1]liste reference'!$B$7:$D$904,1,0)),"",VLOOKUP($A27,'[1]liste reference'!$B$7:$D$904,1,0)),VLOOKUP($A27,'[1]liste reference'!$A$7:$D$904,2,0))</f>
        <v>Amblystegium riparium</v>
      </c>
      <c r="E27" s="223" t="e">
        <f aca="false">IF(D27="",0,VLOOKUP(D27,D$22:D26,1,0))</f>
        <v>#N/A</v>
      </c>
      <c r="F27" s="224" t="n">
        <f aca="false">($B27*$B$7+$C27*$C$7)/100</f>
        <v>0.0715</v>
      </c>
      <c r="G27" s="207" t="str">
        <f aca="false">IF(A27="","",IF(ISERROR(VLOOKUP($A27,'[1]liste reference'!$A$7:$P$904,13,0)),IF(ISERROR(VLOOKUP($A27,'[1]liste reference'!$B$7:$P$904,12,0)),"    -",VLOOKUP($A27,'[1]liste reference'!$B$7:$P$904,12,0)),VLOOKUP($A27,'[1]liste reference'!$A$7:$P$904,13,0)))</f>
        <v>BRm</v>
      </c>
      <c r="H27" s="208" t="n">
        <f aca="false">IF(A27="","x",IF(ISERROR(VLOOKUP($A27,'[1]liste reference'!$A$8:$P$904,14,0)),IF(ISERROR(VLOOKUP($A27,'[1]liste reference'!$B$8:$P$904,13,0)),"x",VLOOKUP($A27,'[1]liste reference'!$B$8:$P$904,13,0)),VLOOKUP($A27,'[1]liste reference'!$A$8:$P$904,14,0)))</f>
        <v>5</v>
      </c>
      <c r="I27" s="209" t="n">
        <f aca="false">IF(ISNUMBER(H27),IF(ISERROR(VLOOKUP($A27,'[1]liste reference'!$A$7:$P$904,3,0)),IF(ISERROR(VLOOKUP($A27,'[1]liste reference'!$B$7:$P$904,2,0)),"",VLOOKUP($A27,'[1]liste reference'!$B$7:$P$904,2,0)),VLOOKUP($A27,'[1]liste reference'!$A$7:$P$904,3,0)),"")</f>
        <v>5</v>
      </c>
      <c r="J27" s="209" t="n">
        <f aca="false">IF(ISNUMBER(H27),IF(ISERROR(VLOOKUP($A27,'[1]liste reference'!$A$7:$P$904,4,0)),IF(ISERROR(VLOOKUP($A27,'[1]liste reference'!$B$7:$P$904,3,0)),"",VLOOKUP($A27,'[1]liste reference'!$B$7:$P$904,3,0)),VLOOKUP($A27,'[1]liste reference'!$A$7:$P$904,4,0)),"")</f>
        <v>2</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Amblystegium riparium</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1219</v>
      </c>
      <c r="Q27" s="214" t="n">
        <f aca="false">IF(ISTEXT(H27),"",(B27*$B$7/100)+(C27*$C$7/100))</f>
        <v>0.0715</v>
      </c>
      <c r="R27" s="215" t="n">
        <f aca="false">IF(OR(ISTEXT(H27),Q27=0),"",IF(Q27&lt;0.1,1,IF(Q27&lt;1,2,IF(Q27&lt;10,3,IF(Q27&lt;50,4,IF(Q27&gt;=50,5,""))))))</f>
        <v>1</v>
      </c>
      <c r="S27" s="215" t="n">
        <f aca="false">IF(ISERROR(R27*I27),0,R27*I27)</f>
        <v>5</v>
      </c>
      <c r="T27" s="215" t="n">
        <f aca="false">IF(ISERROR(R27*I27*J27),0,R27*I27*J27)</f>
        <v>10</v>
      </c>
      <c r="U27" s="226" t="n">
        <f aca="false">IF(ISERROR(R27*J27),0,R27*J27)</f>
        <v>2</v>
      </c>
      <c r="V27" s="216" t="str">
        <f aca="false">IF(AND(A27="",F27=0),"",IF(F27=0,"Il manque le(s) % de rec. !",""))</f>
        <v/>
      </c>
      <c r="W27" s="227"/>
      <c r="Y27" s="215" t="str">
        <f aca="false">IF(A27="new.cod","NEWCOD",IF(AND((Z27=""),ISTEXT(A27)),A27,IF(Z27="","",INDEX('[1]liste reference'!$A$8:$A$904,Z27))))</f>
        <v>AMBRIP</v>
      </c>
      <c r="Z27" s="9" t="n">
        <f aca="false">IF(ISERROR(MATCH(A27,'[1]liste reference'!$A$8:$A$904,0)),IF(ISERROR(MATCH(A27,'[1]liste reference'!$B$8:$B$904,0)),"",(MATCH(A27,'[1]liste reference'!$B$8:$B$904,0))),(MATCH(A27,'[1]liste reference'!$A$8:$A$904,0)))</f>
        <v>148</v>
      </c>
      <c r="AA27" s="218"/>
      <c r="AB27" s="219"/>
      <c r="AC27" s="219"/>
      <c r="BB27" s="9" t="n">
        <f aca="false">IF(A27="","",1)</f>
        <v>1</v>
      </c>
    </row>
    <row r="28" customFormat="false" ht="12.75" hidden="false" customHeight="false" outlineLevel="0" collapsed="false">
      <c r="A28" s="220" t="s">
        <v>83</v>
      </c>
      <c r="B28" s="221" t="n">
        <v>0.1</v>
      </c>
      <c r="C28" s="222" t="n">
        <v>0.01</v>
      </c>
      <c r="D28" s="205" t="str">
        <f aca="false">IF(ISERROR(VLOOKUP($A28,'[1]liste reference'!$A$7:$D$904,2,0)),IF(ISERROR(VLOOKUP($A28,'[1]liste reference'!$B$7:$D$904,1,0)),"",VLOOKUP($A28,'[1]liste reference'!$B$7:$D$904,1,0)),VLOOKUP($A28,'[1]liste reference'!$A$7:$D$904,2,0))</f>
        <v>Fontinalis antipyretica</v>
      </c>
      <c r="E28" s="223" t="e">
        <f aca="false">IF(D28="",0,VLOOKUP(D28,D$22:D27,1,0))</f>
        <v>#N/A</v>
      </c>
      <c r="F28" s="224" t="n">
        <f aca="false">($B28*$B$7+$C28*$C$7)/100</f>
        <v>0.0595</v>
      </c>
      <c r="G28" s="207" t="str">
        <f aca="false">IF(A28="","",IF(ISERROR(VLOOKUP($A28,'[1]liste reference'!$A$7:$P$904,13,0)),IF(ISERROR(VLOOKUP($A28,'[1]liste reference'!$B$7:$P$904,12,0)),"    -",VLOOKUP($A28,'[1]liste reference'!$B$7:$P$904,12,0)),VLOOKUP($A28,'[1]liste reference'!$A$7:$P$904,13,0)))</f>
        <v>BRm</v>
      </c>
      <c r="H28" s="208" t="n">
        <f aca="false">IF(A28="","x",IF(ISERROR(VLOOKUP($A28,'[1]liste reference'!$A$8:$P$904,14,0)),IF(ISERROR(VLOOKUP($A28,'[1]liste reference'!$B$8:$P$904,13,0)),"x",VLOOKUP($A28,'[1]liste reference'!$B$8:$P$904,13,0)),VLOOKUP($A28,'[1]liste reference'!$A$8:$P$904,14,0)))</f>
        <v>5</v>
      </c>
      <c r="I28" s="209" t="n">
        <f aca="false">IF(ISNUMBER(H28),IF(ISERROR(VLOOKUP($A28,'[1]liste reference'!$A$7:$P$904,3,0)),IF(ISERROR(VLOOKUP($A28,'[1]liste reference'!$B$7:$P$904,2,0)),"",VLOOKUP($A28,'[1]liste reference'!$B$7:$P$904,2,0)),VLOOKUP($A28,'[1]liste reference'!$A$7:$P$904,3,0)),"")</f>
        <v>10</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Fontinalis antipyretica</v>
      </c>
      <c r="L28" s="225"/>
      <c r="M28" s="225"/>
      <c r="N28" s="225"/>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1310</v>
      </c>
      <c r="Q28" s="214" t="n">
        <f aca="false">IF(ISTEXT(H28),"",(B28*$B$7/100)+(C28*$C$7/100))</f>
        <v>0.0595</v>
      </c>
      <c r="R28" s="215" t="n">
        <f aca="false">IF(OR(ISTEXT(H28),Q28=0),"",IF(Q28&lt;0.1,1,IF(Q28&lt;1,2,IF(Q28&lt;10,3,IF(Q28&lt;50,4,IF(Q28&gt;=50,5,""))))))</f>
        <v>1</v>
      </c>
      <c r="S28" s="215" t="n">
        <f aca="false">IF(ISERROR(R28*I28),0,R28*I28)</f>
        <v>10</v>
      </c>
      <c r="T28" s="215" t="n">
        <f aca="false">IF(ISERROR(R28*I28*J28),0,R28*I28*J28)</f>
        <v>10</v>
      </c>
      <c r="U28" s="226" t="n">
        <f aca="false">IF(ISERROR(R28*J28),0,R28*J28)</f>
        <v>1</v>
      </c>
      <c r="V28" s="216" t="str">
        <f aca="false">IF(AND(A28="",F28=0),"",IF(F28=0,"Il manque le(s) % de rec. !",""))</f>
        <v/>
      </c>
      <c r="W28" s="217"/>
      <c r="Y28" s="215" t="str">
        <f aca="false">IF(A28="new.cod","NEWCOD",IF(AND((Z28=""),ISTEXT(A28)),A28,IF(Z28="","",INDEX('[1]liste reference'!$A$8:$A$904,Z28))))</f>
        <v>FONANT</v>
      </c>
      <c r="Z28" s="9" t="n">
        <f aca="false">IF(ISERROR(MATCH(A28,'[1]liste reference'!$A$8:$A$904,0)),IF(ISERROR(MATCH(A28,'[1]liste reference'!$B$8:$B$904,0)),"",(MATCH(A28,'[1]liste reference'!$B$8:$B$904,0))),(MATCH(A28,'[1]liste reference'!$A$8:$A$904,0)))</f>
        <v>210</v>
      </c>
      <c r="AA28" s="218"/>
      <c r="AB28" s="219"/>
      <c r="AC28" s="219"/>
      <c r="BB28" s="9" t="n">
        <f aca="false">IF(A28="","",1)</f>
        <v>1</v>
      </c>
    </row>
    <row r="29" customFormat="false" ht="12.75" hidden="false" customHeight="false" outlineLevel="0" collapsed="false">
      <c r="A29" s="220" t="s">
        <v>16</v>
      </c>
      <c r="B29" s="221" t="n">
        <v>2</v>
      </c>
      <c r="C29" s="222"/>
      <c r="D29" s="205" t="str">
        <f aca="false">IF(ISERROR(VLOOKUP($A29,'[1]liste reference'!$A$7:$D$904,2,0)),IF(ISERROR(VLOOKUP($A29,'[1]liste reference'!$B$7:$D$904,1,0)),"",VLOOKUP($A29,'[1]liste reference'!$B$7:$D$904,1,0)),VLOOKUP($A29,'[1]liste reference'!$A$7:$D$904,2,0))</f>
        <v>Rhynchostegium riparioides</v>
      </c>
      <c r="E29" s="223" t="e">
        <f aca="false">IF(D29="",0,VLOOKUP(D29,D$22:D28,1,0))</f>
        <v>#N/A</v>
      </c>
      <c r="F29" s="224" t="n">
        <f aca="false">($B29*$B$7+$C29*$C$7)/100</f>
        <v>1.1</v>
      </c>
      <c r="G29" s="207" t="str">
        <f aca="false">IF(A29="","",IF(ISERROR(VLOOKUP($A29,'[1]liste reference'!$A$7:$P$904,13,0)),IF(ISERROR(VLOOKUP($A29,'[1]liste reference'!$B$7:$P$904,12,0)),"    -",VLOOKUP($A29,'[1]liste reference'!$B$7:$P$904,12,0)),VLOOKUP($A29,'[1]liste reference'!$A$7:$P$904,13,0)))</f>
        <v>BRm</v>
      </c>
      <c r="H29" s="208" t="n">
        <f aca="false">IF(A29="","x",IF(ISERROR(VLOOKUP($A29,'[1]liste reference'!$A$8:$P$904,14,0)),IF(ISERROR(VLOOKUP($A29,'[1]liste reference'!$B$8:$P$904,13,0)),"x",VLOOKUP($A29,'[1]liste reference'!$B$8:$P$904,13,0)),VLOOKUP($A29,'[1]liste reference'!$A$8:$P$904,14,0)))</f>
        <v>5</v>
      </c>
      <c r="I29" s="209" t="n">
        <f aca="false">IF(ISNUMBER(H29),IF(ISERROR(VLOOKUP($A29,'[1]liste reference'!$A$7:$P$904,3,0)),IF(ISERROR(VLOOKUP($A29,'[1]liste reference'!$B$7:$P$904,2,0)),"",VLOOKUP($A29,'[1]liste reference'!$B$7:$P$904,2,0)),VLOOKUP($A29,'[1]liste reference'!$A$7:$P$904,3,0)),"")</f>
        <v>12</v>
      </c>
      <c r="J29" s="209" t="n">
        <f aca="false">IF(ISNUMBER(H29),IF(ISERROR(VLOOKUP($A29,'[1]liste reference'!$A$7:$P$904,4,0)),IF(ISERROR(VLOOKUP($A29,'[1]liste reference'!$B$7:$P$904,3,0)),"",VLOOKUP($A29,'[1]liste reference'!$B$7:$P$904,3,0)),VLOOKUP($A29,'[1]liste reference'!$A$7:$P$904,4,0)),"")</f>
        <v>1</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Rhynchostegium riparioides</v>
      </c>
      <c r="L29" s="225"/>
      <c r="M29" s="225"/>
      <c r="N29" s="225"/>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1268</v>
      </c>
      <c r="Q29" s="214" t="n">
        <f aca="false">IF(ISTEXT(H29),"",(B29*$B$7/100)+(C29*$C$7/100))</f>
        <v>1.1</v>
      </c>
      <c r="R29" s="215" t="n">
        <f aca="false">IF(OR(ISTEXT(H29),Q29=0),"",IF(Q29&lt;0.1,1,IF(Q29&lt;1,2,IF(Q29&lt;10,3,IF(Q29&lt;50,4,IF(Q29&gt;=50,5,""))))))</f>
        <v>3</v>
      </c>
      <c r="S29" s="215" t="n">
        <f aca="false">IF(ISERROR(R29*I29),0,R29*I29)</f>
        <v>36</v>
      </c>
      <c r="T29" s="215" t="n">
        <f aca="false">IF(ISERROR(R29*I29*J29),0,R29*I29*J29)</f>
        <v>36</v>
      </c>
      <c r="U29" s="226" t="n">
        <f aca="false">IF(ISERROR(R29*J29),0,R29*J29)</f>
        <v>3</v>
      </c>
      <c r="V29" s="216" t="str">
        <f aca="false">IF(AND(A29="",F29=0),"",IF(F29=0,"Il manque le(s) % de rec. !",""))</f>
        <v/>
      </c>
      <c r="W29" s="217"/>
      <c r="Y29" s="215" t="str">
        <f aca="false">IF(A29="new.cod","NEWCOD",IF(AND((Z29=""),ISTEXT(A29)),A29,IF(Z29="","",INDEX('[1]liste reference'!$A$8:$A$904,Z29))))</f>
        <v>RHYRIP</v>
      </c>
      <c r="Z29" s="9" t="n">
        <f aca="false">IF(ISERROR(MATCH(A29,'[1]liste reference'!$A$8:$A$904,0)),IF(ISERROR(MATCH(A29,'[1]liste reference'!$B$8:$B$904,0)),"",(MATCH(A29,'[1]liste reference'!$B$8:$B$904,0))),(MATCH(A29,'[1]liste reference'!$A$8:$A$904,0)))</f>
        <v>252</v>
      </c>
      <c r="AA29" s="218"/>
      <c r="AB29" s="219"/>
      <c r="AC29" s="219"/>
      <c r="BB29" s="9" t="n">
        <f aca="false">IF(A29="","",1)</f>
        <v>1</v>
      </c>
    </row>
    <row r="30" customFormat="false" ht="12.75" hidden="false" customHeight="false" outlineLevel="0" collapsed="false">
      <c r="A30" s="220" t="s">
        <v>84</v>
      </c>
      <c r="B30" s="221" t="n">
        <v>0.33</v>
      </c>
      <c r="C30" s="222" t="n">
        <v>0.03</v>
      </c>
      <c r="D30" s="205" t="str">
        <f aca="false">IF(ISERROR(VLOOKUP($A30,'[1]liste reference'!$A$7:$D$904,2,0)),IF(ISERROR(VLOOKUP($A30,'[1]liste reference'!$B$7:$D$904,1,0)),"",VLOOKUP($A30,'[1]liste reference'!$B$7:$D$904,1,0)),VLOOKUP($A30,'[1]liste reference'!$A$7:$D$904,2,0))</f>
        <v>Glyceria fluitans</v>
      </c>
      <c r="E30" s="223" t="e">
        <f aca="false">IF(D30="",0,VLOOKUP(D30,D$22:D29,1,0))</f>
        <v>#N/A</v>
      </c>
      <c r="F30" s="224" t="n">
        <f aca="false">($B30*$B$7+$C30*$C$7)/100</f>
        <v>0.195</v>
      </c>
      <c r="G30" s="207" t="str">
        <f aca="false">IF(A30="","",IF(ISERROR(VLOOKUP($A30,'[1]liste reference'!$A$7:$P$904,13,0)),IF(ISERROR(VLOOKUP($A30,'[1]liste reference'!$B$7:$P$904,12,0)),"    -",VLOOKUP($A30,'[1]liste reference'!$B$7:$P$904,12,0)),VLOOKUP($A30,'[1]liste reference'!$A$7:$P$904,13,0)))</f>
        <v>PHe</v>
      </c>
      <c r="H30" s="208" t="n">
        <f aca="false">IF(A30="","x",IF(ISERROR(VLOOKUP($A30,'[1]liste reference'!$A$8:$P$904,14,0)),IF(ISERROR(VLOOKUP($A30,'[1]liste reference'!$B$8:$P$904,13,0)),"x",VLOOKUP($A30,'[1]liste reference'!$B$8:$P$904,13,0)),VLOOKUP($A30,'[1]liste reference'!$A$8:$P$904,14,0)))</f>
        <v>8</v>
      </c>
      <c r="I30" s="209" t="n">
        <f aca="false">IF(ISNUMBER(H30),IF(ISERROR(VLOOKUP($A30,'[1]liste reference'!$A$7:$P$904,3,0)),IF(ISERROR(VLOOKUP($A30,'[1]liste reference'!$B$7:$P$904,2,0)),"",VLOOKUP($A30,'[1]liste reference'!$B$7:$P$904,2,0)),VLOOKUP($A30,'[1]liste reference'!$A$7:$P$904,3,0)),"")</f>
        <v>14</v>
      </c>
      <c r="J30" s="209" t="n">
        <f aca="false">IF(ISNUMBER(H30),IF(ISERROR(VLOOKUP($A30,'[1]liste reference'!$A$7:$P$904,4,0)),IF(ISERROR(VLOOKUP($A30,'[1]liste reference'!$B$7:$P$904,3,0)),"",VLOOKUP($A30,'[1]liste reference'!$B$7:$P$904,3,0)),VLOOKUP($A30,'[1]liste reference'!$A$7:$P$904,4,0)),"")</f>
        <v>2</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Glyceria fluitans</v>
      </c>
      <c r="L30" s="225"/>
      <c r="M30" s="225"/>
      <c r="N30" s="225"/>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1564</v>
      </c>
      <c r="Q30" s="214" t="n">
        <f aca="false">IF(ISTEXT(H30),"",(B30*$B$7/100)+(C30*$C$7/100))</f>
        <v>0.195</v>
      </c>
      <c r="R30" s="215" t="n">
        <f aca="false">IF(OR(ISTEXT(H30),Q30=0),"",IF(Q30&lt;0.1,1,IF(Q30&lt;1,2,IF(Q30&lt;10,3,IF(Q30&lt;50,4,IF(Q30&gt;=50,5,""))))))</f>
        <v>2</v>
      </c>
      <c r="S30" s="215" t="n">
        <f aca="false">IF(ISERROR(R30*I30),0,R30*I30)</f>
        <v>28</v>
      </c>
      <c r="T30" s="215" t="n">
        <f aca="false">IF(ISERROR(R30*I30*J30),0,R30*I30*J30)</f>
        <v>56</v>
      </c>
      <c r="U30" s="226" t="n">
        <f aca="false">IF(ISERROR(R30*J30),0,R30*J30)</f>
        <v>4</v>
      </c>
      <c r="V30" s="216" t="str">
        <f aca="false">IF(AND(A30="",F30=0),"",IF(F30=0,"Il manque le(s) % de rec. !",""))</f>
        <v/>
      </c>
      <c r="W30" s="217"/>
      <c r="Y30" s="215" t="str">
        <f aca="false">IF(A30="new.cod","NEWCOD",IF(AND((Z30=""),ISTEXT(A30)),A30,IF(Z30="","",INDEX('[1]liste reference'!$A$8:$A$904,Z30))))</f>
        <v>GLYFLU</v>
      </c>
      <c r="Z30" s="9" t="n">
        <f aca="false">IF(ISERROR(MATCH(A30,'[1]liste reference'!$A$8:$A$904,0)),IF(ISERROR(MATCH(A30,'[1]liste reference'!$B$8:$B$904,0)),"",(MATCH(A30,'[1]liste reference'!$B$8:$B$904,0))),(MATCH(A30,'[1]liste reference'!$A$8:$A$904,0)))</f>
        <v>575</v>
      </c>
      <c r="AA30" s="218"/>
      <c r="AB30" s="219"/>
      <c r="AC30" s="219"/>
      <c r="BB30" s="9" t="n">
        <f aca="false">IF(A30="","",1)</f>
        <v>1</v>
      </c>
    </row>
    <row r="31" customFormat="false" ht="12.75" hidden="false" customHeight="false" outlineLevel="0" collapsed="false">
      <c r="A31" s="220" t="s">
        <v>85</v>
      </c>
      <c r="B31" s="221" t="n">
        <v>0.01</v>
      </c>
      <c r="C31" s="222"/>
      <c r="D31" s="205" t="str">
        <f aca="false">IF(ISERROR(VLOOKUP($A31,'[1]liste reference'!$A$7:$D$904,2,0)),IF(ISERROR(VLOOKUP($A31,'[1]liste reference'!$B$7:$D$904,1,0)),"",VLOOKUP($A31,'[1]liste reference'!$B$7:$D$904,1,0)),VLOOKUP($A31,'[1]liste reference'!$A$7:$D$904,2,0))</f>
        <v>Mentha aquatica</v>
      </c>
      <c r="E31" s="223" t="e">
        <f aca="false">IF(D31="",0,VLOOKUP(D31,D$22:D30,1,0))</f>
        <v>#N/A</v>
      </c>
      <c r="F31" s="224" t="n">
        <f aca="false">($B31*$B$7+$C31*$C$7)/100</f>
        <v>0.0055</v>
      </c>
      <c r="G31" s="207" t="str">
        <f aca="false">IF(A31="","",IF(ISERROR(VLOOKUP($A31,'[1]liste reference'!$A$7:$P$904,13,0)),IF(ISERROR(VLOOKUP($A31,'[1]liste reference'!$B$7:$P$904,12,0)),"    -",VLOOKUP($A31,'[1]liste reference'!$B$7:$P$904,12,0)),VLOOKUP($A31,'[1]liste reference'!$A$7:$P$904,13,0)))</f>
        <v>PHe</v>
      </c>
      <c r="H31" s="208" t="n">
        <f aca="false">IF(A31="","x",IF(ISERROR(VLOOKUP($A31,'[1]liste reference'!$A$8:$P$904,14,0)),IF(ISERROR(VLOOKUP($A31,'[1]liste reference'!$B$8:$P$904,13,0)),"x",VLOOKUP($A31,'[1]liste reference'!$B$8:$P$904,13,0)),VLOOKUP($A31,'[1]liste reference'!$A$8:$P$904,14,0)))</f>
        <v>8</v>
      </c>
      <c r="I31" s="209" t="n">
        <f aca="false">IF(ISNUMBER(H31),IF(ISERROR(VLOOKUP($A31,'[1]liste reference'!$A$7:$P$904,3,0)),IF(ISERROR(VLOOKUP($A31,'[1]liste reference'!$B$7:$P$904,2,0)),"",VLOOKUP($A31,'[1]liste reference'!$B$7:$P$904,2,0)),VLOOKUP($A31,'[1]liste reference'!$A$7:$P$904,3,0)),"")</f>
        <v>12</v>
      </c>
      <c r="J31" s="209" t="n">
        <f aca="false">IF(ISNUMBER(H31),IF(ISERROR(VLOOKUP($A31,'[1]liste reference'!$A$7:$P$904,4,0)),IF(ISERROR(VLOOKUP($A31,'[1]liste reference'!$B$7:$P$904,3,0)),"",VLOOKUP($A31,'[1]liste reference'!$B$7:$P$904,3,0)),VLOOKUP($A31,'[1]liste reference'!$A$7:$P$904,4,0)),"")</f>
        <v>1</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Mentha aquatica</v>
      </c>
      <c r="L31" s="225"/>
      <c r="M31" s="225"/>
      <c r="N31" s="225"/>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1791</v>
      </c>
      <c r="Q31" s="214" t="n">
        <f aca="false">IF(ISTEXT(H31),"",(B31*$B$7/100)+(C31*$C$7/100))</f>
        <v>0.0055</v>
      </c>
      <c r="R31" s="215" t="n">
        <f aca="false">IF(OR(ISTEXT(H31),Q31=0),"",IF(Q31&lt;0.1,1,IF(Q31&lt;1,2,IF(Q31&lt;10,3,IF(Q31&lt;50,4,IF(Q31&gt;=50,5,""))))))</f>
        <v>1</v>
      </c>
      <c r="S31" s="215" t="n">
        <f aca="false">IF(ISERROR(R31*I31),0,R31*I31)</f>
        <v>12</v>
      </c>
      <c r="T31" s="215" t="n">
        <f aca="false">IF(ISERROR(R31*I31*J31),0,R31*I31*J31)</f>
        <v>12</v>
      </c>
      <c r="U31" s="226" t="n">
        <f aca="false">IF(ISERROR(R31*J31),0,R31*J31)</f>
        <v>1</v>
      </c>
      <c r="V31" s="216" t="str">
        <f aca="false">IF(AND(A31="",F31=0),"",IF(F31=0,"Il manque le(s) % de rec. !",""))</f>
        <v/>
      </c>
      <c r="W31" s="217"/>
      <c r="Y31" s="215" t="str">
        <f aca="false">IF(A31="new.cod","NEWCOD",IF(AND((Z31=""),ISTEXT(A31)),A31,IF(Z31="","",INDEX('[1]liste reference'!$A$8:$A$904,Z31))))</f>
        <v>MENAQU</v>
      </c>
      <c r="Z31" s="9" t="n">
        <f aca="false">IF(ISERROR(MATCH(A31,'[1]liste reference'!$A$8:$A$904,0)),IF(ISERROR(MATCH(A31,'[1]liste reference'!$B$8:$B$904,0)),"",(MATCH(A31,'[1]liste reference'!$B$8:$B$904,0))),(MATCH(A31,'[1]liste reference'!$A$8:$A$904,0)))</f>
        <v>607</v>
      </c>
      <c r="AA31" s="218"/>
      <c r="AB31" s="219"/>
      <c r="AC31" s="219"/>
      <c r="BB31" s="9" t="n">
        <f aca="false">IF(A31="","",1)</f>
        <v>1</v>
      </c>
    </row>
    <row r="32" customFormat="false" ht="12.75" hidden="false" customHeight="false" outlineLevel="0" collapsed="false">
      <c r="A32" s="220"/>
      <c r="B32" s="221"/>
      <c r="C32" s="222"/>
      <c r="D32" s="205" t="str">
        <f aca="false">IF(ISERROR(VLOOKUP($A32,'[1]liste reference'!$A$7:$D$904,2,0)),IF(ISERROR(VLOOKUP($A32,'[1]liste reference'!$B$7:$D$904,1,0)),"",VLOOKUP($A32,'[1]liste reference'!$B$7:$D$904,1,0)),VLOOKUP($A32,'[1]liste reference'!$A$7:$D$904,2,0))</f>
        <v/>
      </c>
      <c r="E32" s="223" t="n">
        <f aca="false">IF(D32="",0,VLOOKUP(D32,D$22:D31,1,0))</f>
        <v>0</v>
      </c>
      <c r="F32" s="224" t="n">
        <f aca="false">($B32*$B$7+$C32*$C$7)/100</f>
        <v>0</v>
      </c>
      <c r="G32" s="207" t="str">
        <f aca="false">IF(A32="","",IF(ISERROR(VLOOKUP($A32,'[1]liste reference'!$A$7:$P$904,13,0)),IF(ISERROR(VLOOKUP($A32,'[1]liste reference'!$B$7:$P$904,12,0)),"    -",VLOOKUP($A32,'[1]liste reference'!$B$7:$P$904,12,0)),VLOOKUP($A32,'[1]liste reference'!$A$7:$P$904,13,0)))</f>
        <v/>
      </c>
      <c r="H32" s="208" t="str">
        <f aca="false">IF(A32="","x",IF(ISERROR(VLOOKUP($A32,'[1]liste reference'!$A$8:$P$904,14,0)),IF(ISERROR(VLOOKUP($A32,'[1]liste reference'!$B$8:$P$904,13,0)),"x",VLOOKUP($A32,'[1]liste reference'!$B$8:$P$904,13,0)),VLOOKUP($A32,'[1]liste reference'!$A$8:$P$904,14,0)))</f>
        <v>x</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5"/>
      <c r="M32" s="225"/>
      <c r="N32" s="225"/>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6" t="n">
        <f aca="false">IF(ISERROR(R32*J32),0,R32*J32)</f>
        <v>0</v>
      </c>
      <c r="V32" s="216" t="str">
        <f aca="false">IF(AND(A32="",F32=0),"",IF(F32=0,"Il manque le(s) % de rec. !",""))</f>
        <v/>
      </c>
      <c r="W32" s="217"/>
      <c r="Y32" s="215" t="str">
        <f aca="false">IF(A32="new.cod","NEWCOD",IF(AND((Z32=""),ISTEXT(A32)),A32,IF(Z32="","",INDEX('[1]liste reference'!$A$8:$A$904,Z32))))</f>
        <v/>
      </c>
      <c r="Z32" s="9" t="str">
        <f aca="false">IF(ISERROR(MATCH(A32,'[1]liste reference'!$A$8:$A$904,0)),IF(ISERROR(MATCH(A32,'[1]liste reference'!$B$8:$B$904,0)),"",(MATCH(A32,'[1]liste reference'!$B$8:$B$904,0))),(MATCH(A32,'[1]liste reference'!$A$8:$A$904,0)))</f>
        <v/>
      </c>
      <c r="AA32" s="218"/>
      <c r="AB32" s="219"/>
      <c r="AC32" s="219"/>
      <c r="BB32" s="9" t="str">
        <f aca="false">IF(A32="","",1)</f>
        <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1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86</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JORDANNE</v>
      </c>
      <c r="B84" s="256" t="str">
        <f aca="false">C3</f>
        <v>St Simon</v>
      </c>
      <c r="C84" s="257" t="n">
        <f aca="false">A4</f>
        <v>41502</v>
      </c>
      <c r="D84" s="258" t="n">
        <f aca="false">IF(ISERROR(SUM($T$23:$T$82)/SUM($U$23:$U$82)),"",SUM($T$23:$T$82)/SUM($U$23:$U$82))</f>
        <v>11</v>
      </c>
      <c r="E84" s="259" t="n">
        <f aca="false">N13</f>
        <v>9</v>
      </c>
      <c r="F84" s="256" t="n">
        <f aca="false">N14</f>
        <v>9</v>
      </c>
      <c r="G84" s="256" t="n">
        <f aca="false">N15</f>
        <v>4</v>
      </c>
      <c r="H84" s="256" t="n">
        <f aca="false">N16</f>
        <v>5</v>
      </c>
      <c r="I84" s="256" t="n">
        <f aca="false">N17</f>
        <v>0</v>
      </c>
      <c r="J84" s="260" t="n">
        <f aca="false">N8</f>
        <v>10.5555555555556</v>
      </c>
      <c r="K84" s="258" t="n">
        <f aca="false">N9</f>
        <v>3.1308895119123</v>
      </c>
      <c r="L84" s="259" t="n">
        <f aca="false">N10</f>
        <v>5</v>
      </c>
      <c r="M84" s="259" t="n">
        <f aca="false">N11</f>
        <v>15</v>
      </c>
      <c r="N84" s="258" t="n">
        <f aca="false">O8</f>
        <v>1.55555555555556</v>
      </c>
      <c r="O84" s="258" t="n">
        <f aca="false">O9</f>
        <v>0.496903994999953</v>
      </c>
      <c r="P84" s="259" t="n">
        <f aca="false">O10</f>
        <v>1</v>
      </c>
      <c r="Q84" s="259" t="n">
        <f aca="false">O11</f>
        <v>2</v>
      </c>
      <c r="R84" s="259" t="n">
        <f aca="false">F21</f>
        <v>1.5845</v>
      </c>
      <c r="S84" s="259" t="n">
        <f aca="false">K11</f>
        <v>0</v>
      </c>
      <c r="T84" s="259" t="n">
        <f aca="false">K12</f>
        <v>3</v>
      </c>
      <c r="U84" s="259" t="n">
        <f aca="false">K13</f>
        <v>4</v>
      </c>
      <c r="V84" s="261" t="n">
        <f aca="false">K14</f>
        <v>0</v>
      </c>
      <c r="W84" s="262" t="n">
        <f aca="false">K15</f>
        <v>2</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87</v>
      </c>
      <c r="R86" s="9"/>
      <c r="S86" s="216"/>
      <c r="T86" s="9"/>
      <c r="U86" s="9"/>
      <c r="V86" s="9"/>
    </row>
    <row r="87" customFormat="false" ht="12.75" hidden="true" customHeight="false" outlineLevel="0" collapsed="false">
      <c r="P87" s="9"/>
      <c r="Q87" s="9" t="s">
        <v>88</v>
      </c>
      <c r="R87" s="9"/>
      <c r="S87" s="216" t="n">
        <f aca="false">VLOOKUP(MAX($S$23:$S$82),($S$23:$U$82),1,0)</f>
        <v>36</v>
      </c>
      <c r="T87" s="9"/>
      <c r="U87" s="9"/>
      <c r="V87" s="9"/>
    </row>
    <row r="88" customFormat="false" ht="12.75" hidden="true" customHeight="false" outlineLevel="0" collapsed="false">
      <c r="P88" s="9"/>
      <c r="Q88" s="9" t="s">
        <v>89</v>
      </c>
      <c r="R88" s="9"/>
      <c r="S88" s="216" t="n">
        <f aca="false">VLOOKUP((S87),($S$23:$U$82),2,0)</f>
        <v>36</v>
      </c>
      <c r="T88" s="9"/>
      <c r="U88" s="9"/>
      <c r="V88" s="9"/>
    </row>
    <row r="89" customFormat="false" ht="12.75" hidden="true" customHeight="false" outlineLevel="0" collapsed="false">
      <c r="Q89" s="9" t="s">
        <v>90</v>
      </c>
      <c r="R89" s="9"/>
      <c r="S89" s="216" t="n">
        <f aca="false">VLOOKUP((S87),($S$23:$U$82),3,0)</f>
        <v>3</v>
      </c>
      <c r="T89" s="9"/>
    </row>
    <row r="90" customFormat="false" ht="12.75" hidden="false" customHeight="false" outlineLevel="0" collapsed="false">
      <c r="Q90" s="9" t="s">
        <v>91</v>
      </c>
      <c r="R90" s="9"/>
      <c r="S90" s="264" t="n">
        <f aca="false">IF(ISERROR(SUM($T$23:$T$82)/SUM($U$23:$U$82)),"",(SUM($T$23:$T$82)-S88)/(SUM($U$23:$U$82)-S89))</f>
        <v>10.8</v>
      </c>
      <c r="T90" s="9"/>
    </row>
    <row r="91" customFormat="false" ht="12.75" hidden="false" customHeight="false" outlineLevel="0" collapsed="false">
      <c r="Q91" s="215" t="s">
        <v>92</v>
      </c>
      <c r="R91" s="215"/>
      <c r="S91" s="215" t="str">
        <f aca="false">INDEX('[1]liste reference'!$A$8:$A$904,$T$91)</f>
        <v>RHYRIP</v>
      </c>
      <c r="T91" s="9" t="n">
        <f aca="false">IF(ISERROR(MATCH($S$93,'[1]liste reference'!$A$8:$A$904,0)),MATCH($S$93,'[1]liste reference'!$B$8:$B$904,0),(MATCH($S$93,'[1]liste reference'!$A$8:$A$904,0)))</f>
        <v>252</v>
      </c>
      <c r="U91" s="254"/>
    </row>
    <row r="92" customFormat="false" ht="12.75" hidden="false" customHeight="false" outlineLevel="0" collapsed="false">
      <c r="Q92" s="9" t="s">
        <v>93</v>
      </c>
      <c r="R92" s="9"/>
      <c r="S92" s="9" t="n">
        <f aca="false">MATCH(S87,$S$23:$S$82,0)</f>
        <v>7</v>
      </c>
      <c r="T92" s="9"/>
    </row>
    <row r="93" customFormat="false" ht="12.75" hidden="false" customHeight="false" outlineLevel="0" collapsed="false">
      <c r="Q93" s="215" t="s">
        <v>94</v>
      </c>
      <c r="R93" s="9"/>
      <c r="S93" s="215" t="str">
        <f aca="false">INDEX($A$23:$A$82,$S$92)</f>
        <v>RHYRIP</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2024-04-30T10:21:54Z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